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Crédito Consumo\Fase 2\Simulador\Simulador Millon Sobre Deuda\"/>
    </mc:Choice>
  </mc:AlternateContent>
  <workbookProtection workbookAlgorithmName="SHA-512" workbookHashValue="tSHvbMThUuZGZhxLkzODtHNnmZ90IR+ZkCNzpD1WrMi35rq1++iizyDHMDYEttkgs8gcKAt0GYg/SfoUXxjCQw==" workbookSaltValue="1xWE1Qic+CRoiOR2S0R1OA==" workbookSpinCount="100000" lockStructure="1"/>
  <bookViews>
    <workbookView xWindow="0" yWindow="0" windowWidth="16410" windowHeight="7545"/>
  </bookViews>
  <sheets>
    <sheet name="Simulador CrediCompras" sheetId="1" r:id="rId1"/>
    <sheet name="Hoja5" sheetId="6" state="hidden" r:id="rId2"/>
    <sheet name="Hoja2" sheetId="3" state="hidden" r:id="rId3"/>
    <sheet name="Hoja1" sheetId="2" state="hidden" r:id="rId4"/>
    <sheet name="Hoja3" sheetId="4" state="hidden" r:id="rId5"/>
    <sheet name="Hoja4" sheetId="5" state="hidden" r:id="rId6"/>
    <sheet name="Hoja6" sheetId="7" state="hidden" r:id="rId7"/>
  </sheets>
  <definedNames>
    <definedName name="_xlnm._FilterDatabase" localSheetId="0" hidden="1">'Simulador CrediCompras'!$G$12:$J$17</definedName>
    <definedName name="_xlnm.Print_Area" localSheetId="0">'Simulador CrediCompras'!$D$1:$V$99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1" i="1" l="1"/>
  <c r="N98" i="1" l="1"/>
  <c r="G22" i="1"/>
  <c r="J15" i="1" l="1"/>
  <c r="J19" i="1" l="1"/>
  <c r="J28" i="1"/>
  <c r="M28" i="1" l="1"/>
  <c r="S28" i="1" s="1"/>
  <c r="O28" i="1" s="1"/>
  <c r="L28" i="1"/>
  <c r="R28" i="1"/>
  <c r="Q28" i="1"/>
  <c r="S19" i="1"/>
  <c r="B2" i="7"/>
  <c r="C2" i="7" s="1"/>
  <c r="F88" i="1" l="1"/>
  <c r="F89" i="1"/>
  <c r="F90" i="1"/>
  <c r="F91" i="1"/>
  <c r="F92" i="1"/>
  <c r="F93" i="1"/>
  <c r="F94" i="1"/>
  <c r="F95" i="1"/>
  <c r="F96" i="1"/>
  <c r="F97" i="1"/>
  <c r="B1" i="7"/>
  <c r="C1" i="7"/>
  <c r="C1" i="5" l="1"/>
  <c r="C1" i="4"/>
  <c r="A13" i="5"/>
  <c r="A1048576" i="5" s="1"/>
  <c r="D1" i="4"/>
  <c r="B1" i="4" l="1"/>
  <c r="B3" i="4" s="1"/>
  <c r="E1" i="4" l="1"/>
  <c r="F1" i="4" s="1"/>
  <c r="H4" i="1"/>
  <c r="I77" i="2" l="1"/>
  <c r="I78" i="2"/>
  <c r="I79" i="2"/>
  <c r="I80" i="2"/>
  <c r="I81" i="2"/>
  <c r="I82" i="2"/>
  <c r="I83" i="2"/>
  <c r="I84" i="2"/>
  <c r="I85" i="2"/>
  <c r="I86" i="2"/>
  <c r="I87" i="2"/>
  <c r="I88" i="2"/>
  <c r="M77" i="2" l="1"/>
  <c r="M78" i="2"/>
  <c r="M79" i="2"/>
  <c r="M80" i="2"/>
  <c r="M81" i="2"/>
  <c r="M82" i="2"/>
  <c r="M83" i="2"/>
  <c r="M84" i="2"/>
  <c r="M85" i="2"/>
  <c r="M86" i="2"/>
  <c r="M87" i="2"/>
  <c r="M88" i="2"/>
  <c r="M29" i="2"/>
  <c r="F29" i="2"/>
  <c r="D77" i="2"/>
  <c r="D78" i="2"/>
  <c r="D79" i="2"/>
  <c r="D80" i="2"/>
  <c r="D81" i="2"/>
  <c r="D82" i="2"/>
  <c r="D83" i="2"/>
  <c r="D84" i="2"/>
  <c r="D85" i="2"/>
  <c r="D86" i="2"/>
  <c r="D87" i="2"/>
  <c r="D88" i="2"/>
  <c r="D90" i="2"/>
  <c r="H89" i="2"/>
  <c r="L88" i="2"/>
  <c r="K88" i="2"/>
  <c r="G88" i="2"/>
  <c r="F88" i="2"/>
  <c r="C88" i="2"/>
  <c r="B88" i="2"/>
  <c r="L87" i="2"/>
  <c r="K87" i="2"/>
  <c r="G87" i="2"/>
  <c r="F87" i="2"/>
  <c r="C87" i="2"/>
  <c r="B87" i="2"/>
  <c r="L86" i="2"/>
  <c r="K86" i="2"/>
  <c r="G86" i="2"/>
  <c r="F86" i="2"/>
  <c r="C86" i="2"/>
  <c r="B86" i="2"/>
  <c r="L85" i="2"/>
  <c r="K85" i="2"/>
  <c r="G85" i="2"/>
  <c r="F85" i="2"/>
  <c r="C85" i="2"/>
  <c r="B85" i="2"/>
  <c r="L84" i="2"/>
  <c r="K84" i="2"/>
  <c r="G84" i="2"/>
  <c r="F84" i="2"/>
  <c r="C84" i="2"/>
  <c r="B84" i="2"/>
  <c r="L83" i="2"/>
  <c r="K83" i="2"/>
  <c r="G83" i="2"/>
  <c r="F83" i="2"/>
  <c r="C83" i="2"/>
  <c r="B83" i="2"/>
  <c r="L82" i="2"/>
  <c r="K82" i="2"/>
  <c r="G82" i="2"/>
  <c r="F82" i="2"/>
  <c r="C82" i="2"/>
  <c r="B82" i="2"/>
  <c r="L81" i="2"/>
  <c r="K81" i="2"/>
  <c r="G81" i="2"/>
  <c r="F81" i="2"/>
  <c r="C81" i="2"/>
  <c r="B81" i="2"/>
  <c r="L80" i="2"/>
  <c r="K80" i="2"/>
  <c r="G80" i="2"/>
  <c r="F80" i="2"/>
  <c r="C80" i="2"/>
  <c r="B80" i="2"/>
  <c r="L79" i="2"/>
  <c r="K79" i="2"/>
  <c r="G79" i="2"/>
  <c r="F79" i="2"/>
  <c r="C79" i="2"/>
  <c r="B79" i="2"/>
  <c r="L78" i="2"/>
  <c r="K78" i="2"/>
  <c r="G78" i="2"/>
  <c r="F78" i="2"/>
  <c r="C78" i="2"/>
  <c r="B78" i="2"/>
  <c r="L77" i="2"/>
  <c r="K77" i="2"/>
  <c r="G77" i="2"/>
  <c r="F77" i="2"/>
  <c r="C77" i="2"/>
  <c r="B77" i="2"/>
  <c r="G76" i="2"/>
  <c r="C76" i="2"/>
  <c r="G75" i="2"/>
  <c r="C75" i="2"/>
  <c r="G74" i="2"/>
  <c r="C74" i="2"/>
  <c r="G73" i="2"/>
  <c r="C73" i="2"/>
  <c r="G72" i="2"/>
  <c r="C72" i="2"/>
  <c r="G71" i="2"/>
  <c r="C71" i="2"/>
  <c r="G70" i="2"/>
  <c r="C70" i="2"/>
  <c r="G69" i="2"/>
  <c r="C69" i="2"/>
  <c r="G68" i="2"/>
  <c r="C68" i="2"/>
  <c r="G67" i="2"/>
  <c r="C67" i="2"/>
  <c r="G66" i="2"/>
  <c r="C66" i="2"/>
  <c r="G65" i="2"/>
  <c r="C65" i="2"/>
  <c r="G64" i="2"/>
  <c r="C64" i="2"/>
  <c r="G63" i="2"/>
  <c r="C63" i="2"/>
  <c r="G62" i="2"/>
  <c r="C62" i="2"/>
  <c r="G61" i="2"/>
  <c r="C61" i="2"/>
  <c r="G60" i="2"/>
  <c r="C60" i="2"/>
  <c r="G59" i="2"/>
  <c r="C59" i="2"/>
  <c r="G58" i="2"/>
  <c r="C58" i="2"/>
  <c r="G57" i="2"/>
  <c r="C57" i="2"/>
  <c r="G56" i="2"/>
  <c r="C56" i="2"/>
  <c r="G55" i="2"/>
  <c r="C55" i="2"/>
  <c r="G54" i="2"/>
  <c r="C54" i="2"/>
  <c r="G53" i="2"/>
  <c r="C53" i="2"/>
  <c r="G52" i="2"/>
  <c r="C52" i="2"/>
  <c r="G51" i="2"/>
  <c r="C51" i="2"/>
  <c r="G50" i="2"/>
  <c r="C50" i="2"/>
  <c r="G49" i="2"/>
  <c r="C49" i="2"/>
  <c r="G48" i="2"/>
  <c r="C48" i="2"/>
  <c r="G47" i="2"/>
  <c r="C47" i="2"/>
  <c r="G46" i="2"/>
  <c r="C46" i="2"/>
  <c r="G45" i="2"/>
  <c r="C45" i="2"/>
  <c r="G44" i="2"/>
  <c r="C44" i="2"/>
  <c r="G43" i="2"/>
  <c r="C43" i="2"/>
  <c r="G42" i="2"/>
  <c r="C42" i="2"/>
  <c r="G41" i="2"/>
  <c r="C41" i="2"/>
  <c r="G40" i="2"/>
  <c r="C40" i="2"/>
  <c r="G39" i="2"/>
  <c r="C39" i="2"/>
  <c r="G38" i="2"/>
  <c r="C38" i="2"/>
  <c r="G37" i="2"/>
  <c r="C37" i="2"/>
  <c r="G36" i="2"/>
  <c r="C36" i="2"/>
  <c r="G35" i="2"/>
  <c r="C35" i="2"/>
  <c r="G34" i="2"/>
  <c r="C34" i="2"/>
  <c r="G33" i="2"/>
  <c r="C33" i="2"/>
  <c r="G32" i="2"/>
  <c r="C32" i="2"/>
  <c r="G31" i="2"/>
  <c r="C31" i="2"/>
  <c r="G30" i="2"/>
  <c r="C30" i="2"/>
  <c r="L29" i="2"/>
  <c r="G29" i="2"/>
  <c r="N24" i="2"/>
  <c r="N19" i="2"/>
  <c r="N9" i="2"/>
  <c r="N10" i="2" s="1"/>
  <c r="N11" i="2" s="1"/>
  <c r="B29" i="2" s="1"/>
  <c r="N8" i="2"/>
  <c r="N7" i="2"/>
  <c r="N6" i="2"/>
  <c r="I30" i="2" l="1"/>
  <c r="I34" i="2"/>
  <c r="I38" i="2"/>
  <c r="I42" i="2"/>
  <c r="I46" i="2"/>
  <c r="I50" i="2"/>
  <c r="I54" i="2"/>
  <c r="I58" i="2"/>
  <c r="I62" i="2"/>
  <c r="I66" i="2"/>
  <c r="I70" i="2"/>
  <c r="I74" i="2"/>
  <c r="I41" i="2"/>
  <c r="I53" i="2"/>
  <c r="I73" i="2"/>
  <c r="I31" i="2"/>
  <c r="I35" i="2"/>
  <c r="I39" i="2"/>
  <c r="I43" i="2"/>
  <c r="I47" i="2"/>
  <c r="I51" i="2"/>
  <c r="I55" i="2"/>
  <c r="I59" i="2"/>
  <c r="I63" i="2"/>
  <c r="I67" i="2"/>
  <c r="I71" i="2"/>
  <c r="I75" i="2"/>
  <c r="I37" i="2"/>
  <c r="I49" i="2"/>
  <c r="I61" i="2"/>
  <c r="I65" i="2"/>
  <c r="I32" i="2"/>
  <c r="I36" i="2"/>
  <c r="I40" i="2"/>
  <c r="I44" i="2"/>
  <c r="I48" i="2"/>
  <c r="I52" i="2"/>
  <c r="I56" i="2"/>
  <c r="I60" i="2"/>
  <c r="I64" i="2"/>
  <c r="I68" i="2"/>
  <c r="I72" i="2"/>
  <c r="I76" i="2"/>
  <c r="I33" i="2"/>
  <c r="I45" i="2"/>
  <c r="I57" i="2"/>
  <c r="I69" i="2"/>
  <c r="G89" i="2"/>
  <c r="O88" i="2"/>
  <c r="B30" i="2"/>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P29" i="2"/>
  <c r="N23" i="2"/>
  <c r="N25" i="2" s="1"/>
  <c r="I29" i="2"/>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E29" i="2" l="1"/>
  <c r="D29" i="2"/>
  <c r="K38" i="2"/>
  <c r="K50" i="2"/>
  <c r="K58" i="2"/>
  <c r="K66" i="2"/>
  <c r="K74" i="2"/>
  <c r="K43" i="2"/>
  <c r="K51" i="2"/>
  <c r="K59" i="2"/>
  <c r="O36" i="2"/>
  <c r="K29" i="2"/>
  <c r="K30" i="2"/>
  <c r="K35" i="2"/>
  <c r="K40" i="2"/>
  <c r="K44" i="2"/>
  <c r="K48" i="2"/>
  <c r="K52" i="2"/>
  <c r="K56" i="2"/>
  <c r="K60" i="2"/>
  <c r="K64" i="2"/>
  <c r="K68" i="2"/>
  <c r="K72" i="2"/>
  <c r="K76" i="2"/>
  <c r="K34" i="2"/>
  <c r="K42" i="2"/>
  <c r="K46" i="2"/>
  <c r="K54" i="2"/>
  <c r="K62" i="2"/>
  <c r="K70" i="2"/>
  <c r="K33" i="2"/>
  <c r="K32" i="2"/>
  <c r="K39" i="2"/>
  <c r="K47" i="2"/>
  <c r="K55" i="2"/>
  <c r="K63" i="2"/>
  <c r="K67" i="2"/>
  <c r="K71" i="2"/>
  <c r="K75" i="2"/>
  <c r="K37" i="2"/>
  <c r="K31" i="2"/>
  <c r="K36" i="2"/>
  <c r="K41" i="2"/>
  <c r="K45" i="2"/>
  <c r="K49" i="2"/>
  <c r="K53" i="2"/>
  <c r="K57" i="2"/>
  <c r="K61" i="2"/>
  <c r="K65" i="2"/>
  <c r="K69" i="2"/>
  <c r="K73" i="2"/>
  <c r="S12" i="1" l="1"/>
  <c r="S13" i="1" s="1"/>
  <c r="S14" i="1" s="1"/>
  <c r="M30" i="2"/>
  <c r="L30" i="2"/>
  <c r="F30" i="2" s="1"/>
  <c r="D30" i="2" s="1"/>
  <c r="M31" i="2"/>
  <c r="K89" i="2"/>
  <c r="H5" i="1"/>
  <c r="E30" i="2" l="1"/>
  <c r="O30" i="2"/>
  <c r="O37" i="2" l="1"/>
  <c r="H2" i="1"/>
  <c r="H3" i="1"/>
  <c r="H1" i="1"/>
  <c r="L31" i="2" l="1"/>
  <c r="F31" i="2" s="1"/>
  <c r="H6" i="1"/>
  <c r="F28" i="1" s="1"/>
  <c r="K28" i="1" l="1"/>
  <c r="I28" i="1"/>
  <c r="H28" i="1"/>
  <c r="E28" i="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D31" i="2"/>
  <c r="E31" i="2"/>
  <c r="O31" i="2"/>
  <c r="L32" i="2" l="1"/>
  <c r="O32" i="2" s="1"/>
  <c r="M32" i="2"/>
  <c r="F32" i="2" l="1"/>
  <c r="D32" i="2" l="1"/>
  <c r="E32" i="2"/>
  <c r="L33" i="2" l="1"/>
  <c r="O33" i="2" s="1"/>
  <c r="M33" i="2"/>
  <c r="F33" i="2" l="1"/>
  <c r="D33" i="2" s="1"/>
  <c r="M34" i="2" s="1"/>
  <c r="E33" i="2" l="1"/>
  <c r="L34" i="2"/>
  <c r="O34" i="2" s="1"/>
  <c r="F34" i="2" l="1"/>
  <c r="E34" i="2" s="1"/>
  <c r="D34" i="2" l="1"/>
  <c r="L35" i="2" l="1"/>
  <c r="F35" i="2" s="1"/>
  <c r="M35" i="2"/>
  <c r="E35" i="2" l="1"/>
  <c r="D35" i="2"/>
  <c r="M36" i="2" l="1"/>
  <c r="L36" i="2"/>
  <c r="F36" i="2" s="1"/>
  <c r="D36" i="2" l="1"/>
  <c r="E36" i="2"/>
  <c r="M37" i="2" l="1"/>
  <c r="L37" i="2"/>
  <c r="F37" i="2" s="1"/>
  <c r="E37" i="2" l="1"/>
  <c r="D37" i="2"/>
  <c r="L38" i="2" l="1"/>
  <c r="F38" i="2" s="1"/>
  <c r="M38" i="2"/>
  <c r="D38" i="2" l="1"/>
  <c r="E38" i="2"/>
  <c r="L39" i="2" l="1"/>
  <c r="F39" i="2" s="1"/>
  <c r="M39" i="2"/>
  <c r="D39" i="2" l="1"/>
  <c r="E39" i="2"/>
  <c r="L40" i="2" l="1"/>
  <c r="F40" i="2" s="1"/>
  <c r="M40" i="2"/>
  <c r="E40" i="2" l="1"/>
  <c r="D40" i="2"/>
  <c r="M41" i="2" l="1"/>
  <c r="L41" i="2"/>
  <c r="F41" i="2" s="1"/>
  <c r="E41" i="2" l="1"/>
  <c r="D41" i="2"/>
  <c r="M42" i="2" l="1"/>
  <c r="L42" i="2"/>
  <c r="F42" i="2" s="1"/>
  <c r="D42" i="2" l="1"/>
  <c r="E42" i="2"/>
  <c r="L43" i="2" l="1"/>
  <c r="F43" i="2" s="1"/>
  <c r="M43" i="2"/>
  <c r="E43" i="2" l="1"/>
  <c r="D43" i="2"/>
  <c r="L44" i="2" l="1"/>
  <c r="F44" i="2" s="1"/>
  <c r="M44" i="2"/>
  <c r="D44" i="2" l="1"/>
  <c r="E44" i="2"/>
  <c r="L45" i="2" l="1"/>
  <c r="F45" i="2" s="1"/>
  <c r="M45" i="2"/>
  <c r="D45" i="2" l="1"/>
  <c r="E45" i="2"/>
  <c r="L46" i="2" l="1"/>
  <c r="F46" i="2" s="1"/>
  <c r="M46" i="2"/>
  <c r="D46" i="2" l="1"/>
  <c r="E46" i="2"/>
  <c r="L47" i="2" l="1"/>
  <c r="F47" i="2" s="1"/>
  <c r="M47" i="2"/>
  <c r="D47" i="2" l="1"/>
  <c r="E47" i="2"/>
  <c r="L48" i="2" l="1"/>
  <c r="F48" i="2" s="1"/>
  <c r="M48" i="2"/>
  <c r="D48" i="2" l="1"/>
  <c r="E48" i="2"/>
  <c r="M49" i="2" l="1"/>
  <c r="L49" i="2"/>
  <c r="F49" i="2" s="1"/>
  <c r="E49" i="2" l="1"/>
  <c r="D49" i="2"/>
  <c r="L50" i="2" l="1"/>
  <c r="F50" i="2" s="1"/>
  <c r="M50" i="2"/>
  <c r="D50" i="2" l="1"/>
  <c r="E50" i="2"/>
  <c r="L51" i="2" l="1"/>
  <c r="F51" i="2" s="1"/>
  <c r="M51" i="2"/>
  <c r="E51" i="2" l="1"/>
  <c r="D51" i="2"/>
  <c r="L52" i="2" l="1"/>
  <c r="F52" i="2" s="1"/>
  <c r="M52" i="2"/>
  <c r="D52" i="2" l="1"/>
  <c r="E52" i="2"/>
  <c r="L53" i="2" l="1"/>
  <c r="F53" i="2" s="1"/>
  <c r="M53" i="2"/>
  <c r="D53" i="2" l="1"/>
  <c r="E53" i="2"/>
  <c r="M54" i="2" l="1"/>
  <c r="L54" i="2"/>
  <c r="F54" i="2" s="1"/>
  <c r="D54" i="2" l="1"/>
  <c r="E54" i="2"/>
  <c r="L55" i="2" l="1"/>
  <c r="F55" i="2" s="1"/>
  <c r="M55" i="2"/>
  <c r="E55" i="2" l="1"/>
  <c r="D55" i="2"/>
  <c r="L56" i="2" l="1"/>
  <c r="F56" i="2" s="1"/>
  <c r="M56" i="2"/>
  <c r="E56" i="2" l="1"/>
  <c r="D56" i="2"/>
  <c r="M57" i="2" l="1"/>
  <c r="L57" i="2"/>
  <c r="F57" i="2" s="1"/>
  <c r="E57" i="2" l="1"/>
  <c r="D57" i="2"/>
  <c r="L58" i="2" l="1"/>
  <c r="F58" i="2" s="1"/>
  <c r="M58" i="2"/>
  <c r="E58" i="2" l="1"/>
  <c r="D58" i="2"/>
  <c r="L59" i="2" l="1"/>
  <c r="F59" i="2" s="1"/>
  <c r="M59" i="2"/>
  <c r="D59" i="2" l="1"/>
  <c r="E59" i="2"/>
  <c r="L60" i="2" l="1"/>
  <c r="F60" i="2" s="1"/>
  <c r="M60" i="2"/>
  <c r="D60" i="2" l="1"/>
  <c r="E60" i="2"/>
  <c r="M61" i="2" l="1"/>
  <c r="L61" i="2"/>
  <c r="F61" i="2" s="1"/>
  <c r="D61" i="2" l="1"/>
  <c r="E61" i="2"/>
  <c r="L62" i="2" l="1"/>
  <c r="F62" i="2" s="1"/>
  <c r="M62" i="2"/>
  <c r="D62" i="2" l="1"/>
  <c r="E62" i="2"/>
  <c r="M63" i="2" l="1"/>
  <c r="L63" i="2"/>
  <c r="F63" i="2" s="1"/>
  <c r="D63" i="2" l="1"/>
  <c r="E63" i="2"/>
  <c r="L64" i="2" l="1"/>
  <c r="F64" i="2" s="1"/>
  <c r="M64" i="2"/>
  <c r="E64" i="2" l="1"/>
  <c r="D64" i="2"/>
  <c r="M65" i="2" l="1"/>
  <c r="L65" i="2"/>
  <c r="F65" i="2" s="1"/>
  <c r="E65" i="2" l="1"/>
  <c r="D65" i="2"/>
  <c r="M66" i="2" l="1"/>
  <c r="L66" i="2"/>
  <c r="F66" i="2" s="1"/>
  <c r="D66" i="2" l="1"/>
  <c r="E66" i="2"/>
  <c r="L67" i="2" l="1"/>
  <c r="F67" i="2" s="1"/>
  <c r="M67" i="2"/>
  <c r="E67" i="2" l="1"/>
  <c r="D67" i="2"/>
  <c r="M68" i="2" l="1"/>
  <c r="L68" i="2"/>
  <c r="F68" i="2" s="1"/>
  <c r="D68" i="2" l="1"/>
  <c r="E68" i="2"/>
  <c r="L69" i="2" l="1"/>
  <c r="F69" i="2" s="1"/>
  <c r="M69" i="2"/>
  <c r="E69" i="2" l="1"/>
  <c r="D69" i="2"/>
  <c r="L70" i="2" l="1"/>
  <c r="F70" i="2" s="1"/>
  <c r="M70" i="2"/>
  <c r="E70" i="2" l="1"/>
  <c r="D70" i="2"/>
  <c r="M71" i="2" l="1"/>
  <c r="L71" i="2"/>
  <c r="F71" i="2" s="1"/>
  <c r="D71" i="2" l="1"/>
  <c r="E71" i="2"/>
  <c r="M72" i="2" l="1"/>
  <c r="L72" i="2"/>
  <c r="F72" i="2" s="1"/>
  <c r="D72" i="2" l="1"/>
  <c r="E72" i="2"/>
  <c r="M73" i="2" l="1"/>
  <c r="L73" i="2"/>
  <c r="F73" i="2" s="1"/>
  <c r="E73" i="2" l="1"/>
  <c r="D73" i="2"/>
  <c r="M74" i="2" l="1"/>
  <c r="L74" i="2"/>
  <c r="F74" i="2" s="1"/>
  <c r="D74" i="2" l="1"/>
  <c r="E74" i="2"/>
  <c r="M75" i="2" l="1"/>
  <c r="L75" i="2"/>
  <c r="F75" i="2" s="1"/>
  <c r="D75" i="2" l="1"/>
  <c r="E75" i="2"/>
  <c r="M76" i="2" l="1"/>
  <c r="L76" i="2"/>
  <c r="P76" i="2" s="1"/>
  <c r="F76" i="2" l="1"/>
  <c r="O76" i="2"/>
  <c r="D76" i="2"/>
  <c r="E76" i="2"/>
  <c r="F89" i="2"/>
  <c r="D89" i="2" s="1"/>
  <c r="G28" i="1" l="1"/>
  <c r="O76" i="1"/>
  <c r="O77" i="1"/>
  <c r="O78" i="1"/>
  <c r="O79" i="1"/>
  <c r="O80" i="1"/>
  <c r="O81" i="1"/>
  <c r="O82" i="1"/>
  <c r="O83" i="1"/>
  <c r="O84" i="1"/>
  <c r="O85" i="1"/>
  <c r="O86" i="1"/>
  <c r="O87" i="1"/>
  <c r="O88" i="1"/>
  <c r="O89" i="1"/>
  <c r="O90" i="1"/>
  <c r="O91" i="1"/>
  <c r="O92" i="1"/>
  <c r="O93" i="1"/>
  <c r="O94" i="1"/>
  <c r="O95" i="1"/>
  <c r="O96" i="1"/>
  <c r="O97"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G24" i="1" l="1"/>
  <c r="O98" i="1"/>
  <c r="P28" i="1"/>
  <c r="Q29" i="1" l="1"/>
  <c r="R29" i="1"/>
  <c r="M29" i="1" s="1"/>
  <c r="L29" i="1" l="1"/>
  <c r="I29" i="1"/>
  <c r="G29" i="1" l="1"/>
  <c r="P29" i="1" s="1"/>
  <c r="R30" i="1" l="1"/>
  <c r="M30" i="1" s="1"/>
  <c r="Q30" i="1"/>
  <c r="L30" i="1" s="1"/>
  <c r="I30" i="1" l="1"/>
  <c r="G30" i="1" s="1"/>
  <c r="Q31" i="1" s="1"/>
  <c r="I31" i="1" s="1"/>
  <c r="R31" i="1" l="1"/>
  <c r="M31" i="1" s="1"/>
  <c r="P30" i="1"/>
  <c r="L31" i="1"/>
  <c r="G31" i="1" l="1"/>
  <c r="R32" i="1" l="1"/>
  <c r="M32" i="1" s="1"/>
  <c r="P31" i="1"/>
  <c r="Q32" i="1"/>
  <c r="L32" i="1" s="1"/>
  <c r="I32" i="1" l="1"/>
  <c r="G32" i="1" s="1"/>
  <c r="P32" i="1" l="1"/>
  <c r="R33" i="1"/>
  <c r="M33" i="1" s="1"/>
  <c r="Q33" i="1"/>
  <c r="L33" i="1" s="1"/>
  <c r="I33" i="1" l="1"/>
  <c r="G33" i="1" s="1"/>
  <c r="P33" i="1" l="1"/>
  <c r="Q34" i="1"/>
  <c r="L34" i="1" s="1"/>
  <c r="R34" i="1"/>
  <c r="M34" i="1" s="1"/>
  <c r="I34" i="1" l="1"/>
  <c r="G34" i="1" s="1"/>
  <c r="P34" i="1" l="1"/>
  <c r="Q35" i="1"/>
  <c r="L35" i="1" s="1"/>
  <c r="R35" i="1"/>
  <c r="M35" i="1" s="1"/>
  <c r="I35" i="1" l="1"/>
  <c r="G35" i="1" s="1"/>
  <c r="Q36" i="1" l="1"/>
  <c r="L36" i="1" s="1"/>
  <c r="R36" i="1"/>
  <c r="M36" i="1" s="1"/>
  <c r="P35" i="1"/>
  <c r="I36" i="1" l="1"/>
  <c r="G36" i="1" s="1"/>
  <c r="R37" i="1" s="1"/>
  <c r="M37" i="1" s="1"/>
  <c r="P36" i="1" l="1"/>
  <c r="Q37" i="1"/>
  <c r="L37" i="1" s="1"/>
  <c r="I37" i="1" l="1"/>
  <c r="G37" i="1" s="1"/>
  <c r="Q38" i="1" s="1"/>
  <c r="L38" i="1" s="1"/>
  <c r="P37" i="1" l="1"/>
  <c r="R38" i="1"/>
  <c r="M38" i="1" s="1"/>
  <c r="I38" i="1"/>
  <c r="G38" i="1" s="1"/>
  <c r="Q39" i="1" s="1"/>
  <c r="L39" i="1" s="1"/>
  <c r="R39" i="1" l="1"/>
  <c r="M39" i="1" s="1"/>
  <c r="P38" i="1"/>
  <c r="I39" i="1"/>
  <c r="G39" i="1" s="1"/>
  <c r="Q40" i="1" s="1"/>
  <c r="L40" i="1" s="1"/>
  <c r="P39" i="1" l="1"/>
  <c r="R40" i="1"/>
  <c r="M40" i="1" s="1"/>
  <c r="I40" i="1"/>
  <c r="G40" i="1" s="1"/>
  <c r="P40" i="1" l="1"/>
  <c r="Q41" i="1"/>
  <c r="L41" i="1" s="1"/>
  <c r="R41" i="1"/>
  <c r="I41" i="1" l="1"/>
  <c r="G41" i="1" s="1"/>
  <c r="M41" i="1"/>
  <c r="R42" i="1" l="1"/>
  <c r="M42" i="1" s="1"/>
  <c r="P41" i="1"/>
  <c r="Q42" i="1"/>
  <c r="I42" i="1" s="1"/>
  <c r="L42" i="1" l="1"/>
  <c r="G42" i="1" l="1"/>
  <c r="R43" i="1" l="1"/>
  <c r="M43" i="1" s="1"/>
  <c r="P42" i="1"/>
  <c r="Q43" i="1"/>
  <c r="L43" i="1" s="1"/>
  <c r="I43" i="1" l="1"/>
  <c r="G43" i="1" s="1"/>
  <c r="P43" i="1" l="1"/>
  <c r="Q44" i="1"/>
  <c r="L44" i="1" s="1"/>
  <c r="R44" i="1"/>
  <c r="I44" i="1" l="1"/>
  <c r="G44" i="1" s="1"/>
  <c r="M44" i="1"/>
  <c r="P44" i="1" l="1"/>
  <c r="Q45" i="1"/>
  <c r="I45" i="1" s="1"/>
  <c r="R45" i="1"/>
  <c r="M45" i="1" l="1"/>
  <c r="L45" i="1"/>
  <c r="G45" i="1" l="1"/>
  <c r="Q46" i="1" l="1"/>
  <c r="L46" i="1" s="1"/>
  <c r="P45" i="1"/>
  <c r="R46" i="1"/>
  <c r="M46" i="1" s="1"/>
  <c r="I46" i="1" l="1"/>
  <c r="G46" i="1" s="1"/>
  <c r="R47" i="1" s="1"/>
  <c r="P46" i="1" l="1"/>
  <c r="Q47" i="1"/>
  <c r="L47" i="1" s="1"/>
  <c r="M47" i="1"/>
  <c r="I47" i="1" l="1"/>
  <c r="G47" i="1" s="1"/>
  <c r="Q48" i="1" s="1"/>
  <c r="L48" i="1" s="1"/>
  <c r="P47" i="1" l="1"/>
  <c r="R48" i="1"/>
  <c r="M48" i="1" s="1"/>
  <c r="I48" i="1"/>
  <c r="G48" i="1" s="1"/>
  <c r="Q49" i="1" s="1"/>
  <c r="L49" i="1" s="1"/>
  <c r="P48" i="1" l="1"/>
  <c r="I49" i="1"/>
  <c r="G49" i="1" s="1"/>
  <c r="R49" i="1"/>
  <c r="P49" i="1" l="1"/>
  <c r="Q50" i="1"/>
  <c r="L50" i="1" s="1"/>
  <c r="M49" i="1"/>
  <c r="I50" i="1" l="1"/>
  <c r="G50" i="1" s="1"/>
  <c r="R50" i="1"/>
  <c r="P50" i="1" l="1"/>
  <c r="Q51" i="1"/>
  <c r="L51" i="1" s="1"/>
  <c r="M50" i="1"/>
  <c r="I51" i="1" l="1"/>
  <c r="G51" i="1" s="1"/>
  <c r="R51" i="1"/>
  <c r="M51" i="1" s="1"/>
  <c r="P51" i="1" l="1"/>
  <c r="R52" i="1"/>
  <c r="Q52" i="1"/>
  <c r="L52" i="1" s="1"/>
  <c r="I52" i="1" l="1"/>
  <c r="G52" i="1" s="1"/>
  <c r="M52" i="1"/>
  <c r="P52" i="1" l="1"/>
  <c r="R53" i="1"/>
  <c r="M53" i="1" s="1"/>
  <c r="Q53" i="1"/>
  <c r="L53" i="1" s="1"/>
  <c r="I53" i="1" l="1"/>
  <c r="G53" i="1" s="1"/>
  <c r="Q54" i="1" l="1"/>
  <c r="I54" i="1" s="1"/>
  <c r="R54" i="1"/>
  <c r="M54" i="1" s="1"/>
  <c r="P53" i="1"/>
  <c r="L54" i="1" l="1"/>
  <c r="G54" i="1" s="1"/>
  <c r="Q55" i="1" l="1"/>
  <c r="I55" i="1" s="1"/>
  <c r="R55" i="1"/>
  <c r="P54" i="1"/>
  <c r="M55" i="1" l="1"/>
  <c r="L55" i="1"/>
  <c r="G55" i="1" l="1"/>
  <c r="P55" i="1" l="1"/>
  <c r="Q56" i="1"/>
  <c r="L56" i="1" s="1"/>
  <c r="R56" i="1"/>
  <c r="M56" i="1" s="1"/>
  <c r="I56" i="1" l="1"/>
  <c r="G56" i="1" s="1"/>
  <c r="Q57" i="1" l="1"/>
  <c r="L57" i="1" s="1"/>
  <c r="P56" i="1"/>
  <c r="R57" i="1"/>
  <c r="M57" i="1" s="1"/>
  <c r="I57" i="1" l="1"/>
  <c r="G57" i="1" s="1"/>
  <c r="Q58" i="1" l="1"/>
  <c r="L58" i="1" s="1"/>
  <c r="P57" i="1"/>
  <c r="R58" i="1"/>
  <c r="M58" i="1" s="1"/>
  <c r="I58" i="1" l="1"/>
  <c r="G58" i="1" s="1"/>
  <c r="R59" i="1" s="1"/>
  <c r="M59" i="1" s="1"/>
  <c r="Q59" i="1" l="1"/>
  <c r="L59" i="1" s="1"/>
  <c r="P58" i="1"/>
  <c r="I59" i="1" l="1"/>
  <c r="G59" i="1" s="1"/>
  <c r="R60" i="1" s="1"/>
  <c r="M60" i="1" s="1"/>
  <c r="Q60" i="1" l="1"/>
  <c r="L60" i="1" s="1"/>
  <c r="P59" i="1"/>
  <c r="I60" i="1" l="1"/>
  <c r="G60" i="1" s="1"/>
  <c r="P60" i="1" s="1"/>
  <c r="R61" i="1" l="1"/>
  <c r="M61" i="1" s="1"/>
  <c r="Q61" i="1"/>
  <c r="L61" i="1" s="1"/>
  <c r="I61" i="1" l="1"/>
  <c r="G61" i="1" s="1"/>
  <c r="Q62" i="1" s="1"/>
  <c r="L62" i="1" s="1"/>
  <c r="R62" i="1" l="1"/>
  <c r="M62" i="1" s="1"/>
  <c r="P61" i="1"/>
  <c r="I62" i="1"/>
  <c r="G62" i="1" s="1"/>
  <c r="P62" i="1" l="1"/>
  <c r="Q63" i="1"/>
  <c r="L63" i="1" s="1"/>
  <c r="R63" i="1"/>
  <c r="M63" i="1" s="1"/>
  <c r="I63" i="1" l="1"/>
  <c r="G63" i="1" s="1"/>
  <c r="Q64" i="1" l="1"/>
  <c r="I64" i="1" s="1"/>
  <c r="P63" i="1"/>
  <c r="R64" i="1"/>
  <c r="M64" i="1" s="1"/>
  <c r="L64" i="1" l="1"/>
  <c r="G64" i="1" s="1"/>
  <c r="Q65" i="1" l="1"/>
  <c r="L65" i="1" s="1"/>
  <c r="R65" i="1"/>
  <c r="P64" i="1"/>
  <c r="I65" i="1" l="1"/>
  <c r="G65" i="1" s="1"/>
  <c r="P65" i="1" s="1"/>
  <c r="M65" i="1"/>
  <c r="Q66" i="1" l="1"/>
  <c r="L66" i="1" s="1"/>
  <c r="R66" i="1"/>
  <c r="M66" i="1" s="1"/>
  <c r="I66" i="1" l="1"/>
  <c r="G66" i="1" s="1"/>
  <c r="Q67" i="1" s="1"/>
  <c r="L67" i="1" s="1"/>
  <c r="R67" i="1" l="1"/>
  <c r="M67" i="1" s="1"/>
  <c r="P66" i="1"/>
  <c r="I67" i="1"/>
  <c r="G67" i="1" s="1"/>
  <c r="R68" i="1" l="1"/>
  <c r="M68" i="1" s="1"/>
  <c r="Q68" i="1"/>
  <c r="L68" i="1" s="1"/>
  <c r="P67" i="1"/>
  <c r="I68" i="1" l="1"/>
  <c r="G68" i="1" s="1"/>
  <c r="Q69" i="1" s="1"/>
  <c r="L69" i="1" s="1"/>
  <c r="P68" i="1" l="1"/>
  <c r="R69" i="1"/>
  <c r="M69" i="1" s="1"/>
  <c r="I69" i="1"/>
  <c r="G69" i="1" s="1"/>
  <c r="Q70" i="1" l="1"/>
  <c r="I70" i="1" s="1"/>
  <c r="P69" i="1"/>
  <c r="R70" i="1"/>
  <c r="M70" i="1" s="1"/>
  <c r="L70" i="1" l="1"/>
  <c r="G70" i="1" s="1"/>
  <c r="P70" i="1" l="1"/>
  <c r="R71" i="1"/>
  <c r="M71" i="1" s="1"/>
  <c r="Q71" i="1"/>
  <c r="L71" i="1" s="1"/>
  <c r="I71" i="1" l="1"/>
  <c r="G71" i="1" s="1"/>
  <c r="Q72" i="1" l="1"/>
  <c r="L72" i="1" s="1"/>
  <c r="R72" i="1"/>
  <c r="M72" i="1" s="1"/>
  <c r="P71" i="1"/>
  <c r="I72" i="1" l="1"/>
  <c r="G72" i="1" s="1"/>
  <c r="Q73" i="1" l="1"/>
  <c r="L73" i="1" s="1"/>
  <c r="R73" i="1"/>
  <c r="M73" i="1" s="1"/>
  <c r="P72" i="1"/>
  <c r="I73" i="1" l="1"/>
  <c r="G73" i="1" s="1"/>
  <c r="P73" i="1" l="1"/>
  <c r="Q74" i="1"/>
  <c r="L74" i="1" s="1"/>
  <c r="R74" i="1"/>
  <c r="M74" i="1" s="1"/>
  <c r="I74" i="1" l="1"/>
  <c r="G74" i="1" s="1"/>
  <c r="Q75" i="1" l="1"/>
  <c r="L75" i="1" s="1"/>
  <c r="R75" i="1"/>
  <c r="M75" i="1" s="1"/>
  <c r="P74" i="1"/>
  <c r="I75" i="1" l="1"/>
  <c r="G75" i="1" s="1"/>
  <c r="P75" i="1" l="1"/>
  <c r="Q76" i="1"/>
  <c r="L76" i="1" s="1"/>
  <c r="R76" i="1"/>
  <c r="M76" i="1" s="1"/>
  <c r="I76" i="1" l="1"/>
  <c r="G76" i="1" s="1"/>
  <c r="Q77" i="1" l="1"/>
  <c r="L77" i="1" s="1"/>
  <c r="P76" i="1"/>
  <c r="R77" i="1"/>
  <c r="M77" i="1" s="1"/>
  <c r="I77" i="1" l="1"/>
  <c r="G77" i="1" s="1"/>
  <c r="P77" i="1" l="1"/>
  <c r="R78" i="1"/>
  <c r="Q78" i="1"/>
  <c r="L78" i="1" s="1"/>
  <c r="I78" i="1" l="1"/>
  <c r="G78" i="1" s="1"/>
  <c r="M78" i="1"/>
  <c r="R79" i="1" l="1"/>
  <c r="M79" i="1" s="1"/>
  <c r="Q79" i="1"/>
  <c r="L79" i="1" s="1"/>
  <c r="P78" i="1"/>
  <c r="I79" i="1" l="1"/>
  <c r="G79" i="1" s="1"/>
  <c r="P79" i="1" l="1"/>
  <c r="R80" i="1"/>
  <c r="M80" i="1" s="1"/>
  <c r="Q80" i="1"/>
  <c r="L80" i="1" s="1"/>
  <c r="I80" i="1" l="1"/>
  <c r="G80" i="1" s="1"/>
  <c r="R81" i="1" l="1"/>
  <c r="M81" i="1" s="1"/>
  <c r="P80" i="1"/>
  <c r="Q81" i="1"/>
  <c r="L81" i="1" s="1"/>
  <c r="I81" i="1" l="1"/>
  <c r="G81" i="1" s="1"/>
  <c r="P81" i="1" l="1"/>
  <c r="Q82" i="1"/>
  <c r="L82" i="1" s="1"/>
  <c r="R82" i="1"/>
  <c r="M82" i="1" s="1"/>
  <c r="I82" i="1" l="1"/>
  <c r="G82" i="1" s="1"/>
  <c r="Q83" i="1" l="1"/>
  <c r="L83" i="1" s="1"/>
  <c r="P82" i="1"/>
  <c r="R83" i="1"/>
  <c r="I83" i="1" l="1"/>
  <c r="G83" i="1" s="1"/>
  <c r="M83" i="1"/>
  <c r="Q84" i="1" l="1"/>
  <c r="L84" i="1" s="1"/>
  <c r="R84" i="1"/>
  <c r="M84" i="1" s="1"/>
  <c r="P83" i="1"/>
  <c r="I84" i="1" l="1"/>
  <c r="G84" i="1" s="1"/>
  <c r="P84" i="1" l="1"/>
  <c r="Q85" i="1"/>
  <c r="L85" i="1" s="1"/>
  <c r="R85" i="1"/>
  <c r="M85" i="1" s="1"/>
  <c r="I85" i="1" l="1"/>
  <c r="G85" i="1" s="1"/>
  <c r="P85" i="1" l="1"/>
  <c r="R86" i="1"/>
  <c r="M86" i="1" s="1"/>
  <c r="Q86" i="1"/>
  <c r="L86" i="1" s="1"/>
  <c r="I86" i="1" l="1"/>
  <c r="G86" i="1" s="1"/>
  <c r="Q87" i="1" l="1"/>
  <c r="L87" i="1" s="1"/>
  <c r="P86" i="1"/>
  <c r="R87" i="1"/>
  <c r="M87" i="1" s="1"/>
  <c r="I87" i="1" l="1"/>
  <c r="G87" i="1" s="1"/>
  <c r="Q88" i="1" s="1"/>
  <c r="L88" i="1" s="1"/>
  <c r="I88" i="1" l="1"/>
  <c r="G88" i="1" s="1"/>
  <c r="P88" i="1" s="1"/>
  <c r="P87" i="1"/>
  <c r="R88" i="1"/>
  <c r="M88" i="1" s="1"/>
  <c r="Q89" i="1" l="1"/>
  <c r="L89" i="1" s="1"/>
  <c r="R89" i="1"/>
  <c r="M89" i="1" s="1"/>
  <c r="I89" i="1" l="1"/>
  <c r="G89" i="1" s="1"/>
  <c r="P89" i="1" s="1"/>
  <c r="Q90" i="1" l="1"/>
  <c r="L90" i="1" s="1"/>
  <c r="R90" i="1"/>
  <c r="M90" i="1" s="1"/>
  <c r="I90" i="1" l="1"/>
  <c r="G90" i="1" s="1"/>
  <c r="P90" i="1" s="1"/>
  <c r="R91" i="1" l="1"/>
  <c r="M91" i="1" s="1"/>
  <c r="Q91" i="1"/>
  <c r="L91" i="1" s="1"/>
  <c r="I91" i="1" l="1"/>
  <c r="G91" i="1" s="1"/>
  <c r="R92" i="1" s="1"/>
  <c r="M92" i="1" s="1"/>
  <c r="P91" i="1" l="1"/>
  <c r="Q92" i="1"/>
  <c r="I92" i="1" s="1"/>
  <c r="L92" i="1" l="1"/>
  <c r="G92" i="1" s="1"/>
  <c r="P92" i="1" l="1"/>
  <c r="R93" i="1"/>
  <c r="M93" i="1" s="1"/>
  <c r="Q93" i="1"/>
  <c r="L93" i="1" s="1"/>
  <c r="I93" i="1" l="1"/>
  <c r="G93" i="1" s="1"/>
  <c r="P93" i="1" l="1"/>
  <c r="Q94" i="1"/>
  <c r="L94" i="1" s="1"/>
  <c r="R94" i="1"/>
  <c r="M94" i="1" s="1"/>
  <c r="I94" i="1" l="1"/>
  <c r="G94" i="1" s="1"/>
  <c r="Q95" i="1" l="1"/>
  <c r="L95" i="1" s="1"/>
  <c r="R95" i="1"/>
  <c r="M95" i="1" s="1"/>
  <c r="P94" i="1"/>
  <c r="I95" i="1" l="1"/>
  <c r="G95" i="1" s="1"/>
  <c r="Q96" i="1" l="1"/>
  <c r="L96" i="1" s="1"/>
  <c r="P95" i="1"/>
  <c r="R96" i="1"/>
  <c r="M96" i="1" s="1"/>
  <c r="I96" i="1" l="1"/>
  <c r="G96" i="1" s="1"/>
  <c r="P96" i="1" s="1"/>
  <c r="Q97" i="1" l="1"/>
  <c r="L97" i="1" s="1"/>
  <c r="L98" i="1" s="1"/>
  <c r="R97" i="1"/>
  <c r="M97" i="1" s="1"/>
  <c r="M98" i="1" l="1"/>
  <c r="M99" i="1" s="1"/>
  <c r="I97" i="1"/>
  <c r="I98" i="1" s="1"/>
  <c r="G97" i="1"/>
  <c r="G98" i="1" s="1"/>
  <c r="P97" i="1" l="1"/>
  <c r="P98" i="1" s="1"/>
</calcChain>
</file>

<file path=xl/sharedStrings.xml><?xml version="1.0" encoding="utf-8"?>
<sst xmlns="http://schemas.openxmlformats.org/spreadsheetml/2006/main" count="404" uniqueCount="72">
  <si>
    <t>Fecha</t>
  </si>
  <si>
    <t>Compañía de Financiamiento Tuya S.A</t>
  </si>
  <si>
    <t>Nit. 860.032.330</t>
  </si>
  <si>
    <t>Plan de Pagos Libre Destino.</t>
  </si>
  <si>
    <t xml:space="preserve">Número de Crédito </t>
  </si>
  <si>
    <t>Nombre del Cliente</t>
  </si>
  <si>
    <t>Herrera Gómez Camila</t>
  </si>
  <si>
    <t>Valor Del Desembolso</t>
  </si>
  <si>
    <t>Plazo</t>
  </si>
  <si>
    <t>Cuota</t>
  </si>
  <si>
    <t>Tasa EA</t>
  </si>
  <si>
    <t>Póliza Deudores</t>
  </si>
  <si>
    <t>Otros</t>
  </si>
  <si>
    <t xml:space="preserve"> No.
Cuota</t>
  </si>
  <si>
    <t>Fecha 
de Pago</t>
  </si>
  <si>
    <t>Abono a
 Capital</t>
  </si>
  <si>
    <t>Interés
Corriente</t>
  </si>
  <si>
    <t xml:space="preserve">Póliza Deudores  </t>
  </si>
  <si>
    <t xml:space="preserve">Cuota Mensual </t>
  </si>
  <si>
    <t>Saldo</t>
  </si>
  <si>
    <t xml:space="preserve">Estado </t>
  </si>
  <si>
    <t>TOTALMENTE PAGA</t>
  </si>
  <si>
    <t>PENDIENTE DE PAGO</t>
  </si>
  <si>
    <t xml:space="preserve">TOTAL: </t>
  </si>
  <si>
    <t>SIIL01</t>
  </si>
  <si>
    <t>ARCHIVO</t>
  </si>
  <si>
    <t>CAMPO</t>
  </si>
  <si>
    <t>L01NPR</t>
  </si>
  <si>
    <t>SIIC40</t>
  </si>
  <si>
    <t>C40NOM</t>
  </si>
  <si>
    <t>L01VOR</t>
  </si>
  <si>
    <t>L01PLA</t>
  </si>
  <si>
    <t>L02VPG</t>
  </si>
  <si>
    <t>SIIL02</t>
  </si>
  <si>
    <t>SIIL01-SIIF04</t>
  </si>
  <si>
    <t>L01TIC-S04NTA</t>
  </si>
  <si>
    <t>SIIL23</t>
  </si>
  <si>
    <t>L23VFA</t>
  </si>
  <si>
    <t xml:space="preserve"> </t>
  </si>
  <si>
    <t xml:space="preserve">L05NCT,L03FEF,L05CPG,L05IPG,L23VFA,L23VFA,L02VPG
</t>
  </si>
  <si>
    <t>SIIL05,SIIL03,SIIL02,SIIL23</t>
  </si>
  <si>
    <t>TEXTO LEGAL POR DEFINIR</t>
  </si>
  <si>
    <t>fecha desembolso</t>
  </si>
  <si>
    <t>dias de intereses</t>
  </si>
  <si>
    <t>cliente comienza a pagar</t>
  </si>
  <si>
    <t>dia</t>
  </si>
  <si>
    <t>mes</t>
  </si>
  <si>
    <t>año</t>
  </si>
  <si>
    <t>fecha de hoy mas 1 mes pero el dia 2</t>
  </si>
  <si>
    <t>dias entre fechas</t>
  </si>
  <si>
    <t>regla</t>
  </si>
  <si>
    <t>Cuota primer mes</t>
  </si>
  <si>
    <t>interes de primera factura más de 30 días</t>
  </si>
  <si>
    <t>el valor del i no cambia en las facturas, lo q aumenta es el valor del k mes a mes</t>
  </si>
  <si>
    <t>Abono a
 Capital cuando es -</t>
  </si>
  <si>
    <t>saldo para cobro i</t>
  </si>
  <si>
    <t>cuota con valor de i</t>
  </si>
  <si>
    <t>k</t>
  </si>
  <si>
    <t>i mas de 30 días</t>
  </si>
  <si>
    <t>INCREMENTO</t>
  </si>
  <si>
    <t>Saldo N</t>
  </si>
  <si>
    <t>Fecha desembolso</t>
  </si>
  <si>
    <t>Día de fecha de pago</t>
  </si>
  <si>
    <t>Monto Solicitado</t>
  </si>
  <si>
    <t>días de intereses</t>
  </si>
  <si>
    <t>i 30 días</t>
  </si>
  <si>
    <t>Cuota Mensual</t>
  </si>
  <si>
    <t>Tasa Nominal Anual</t>
  </si>
  <si>
    <t xml:space="preserve">Tasa Nominal Mensual </t>
  </si>
  <si>
    <t xml:space="preserve">Póliza Deudores </t>
  </si>
  <si>
    <t>Tasa EA (Noviembre 2019)</t>
  </si>
  <si>
    <t xml:space="preserve">Los resultados de esta simulación son informativos, aproximados y no implican oferta o promesa de contratar.
Los valores presentados resultan de una proyección de los cobros inherentes o asociados a la operación en los términos de ley y no necesariamente corresponden a los montos que efectivamente pagará el cliente.
Los valores podrán variar de acuerdo a las políticas de estudio y aprobación de crédito por parte de Tuya S.A. 
Los intereses se liquidarán con la tasa vigente pactada con el cliente al momento del desembolso.
La tasa establecida para el mes de Diciembre de 2019 es de 28.35447% EA
Póliza colectiva Seguro Deudores para créditos desembolsados hasta 31 de marzo de 2019: $3.159 por millón desembolsado.
Póliza colectiva Seguro Deudores para créditos desembolsados a partir del 1 de abril de 2019: $3.143 por millón sobre el saldo adeudado.  
La valores presentados en esta simulación solo estarán vigentes en la fecha en la que este archivo sea descargado del sitio web de Tuya 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</si>
</sst>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 #,##0.00;[Red]\-&quot;$&quot;\ #,##0.00"/>
    <numFmt numFmtId="42" formatCode="_-&quot;$&quot;\ * #,##0_-;\-&quot;$&quot;\ * #,##0_-;_-&quot;$&quot;\ * &quot;-&quot;_-;_-@_-"/>
    <numFmt numFmtId="41" formatCode="_-* #,##0_-;\-* #,##0_-;_-* &quot;-&quot;_-;_-@_-"/>
    <numFmt numFmtId="44" formatCode="_-&quot;$&quot;\ * #,##0.00_-;\-&quot;$&quot;\ * #,##0.00_-;_-&quot;$&quot;\ * &quot;-&quot;??_-;_-@_-"/>
    <numFmt numFmtId="164" formatCode="&quot;$&quot;\ #,##0_);\(&quot;$&quot;\ #,##0\)"/>
    <numFmt numFmtId="165" formatCode="&quot;$&quot;\ #,##0.00_);[Red]\(&quot;$&quot;\ #,##0.00\)"/>
    <numFmt numFmtId="166" formatCode="0.000%"/>
    <numFmt numFmtId="167" formatCode="_-* #,##0.00_-;\-* #,##0.00_-;_-* &quot;-&quot;_-;_-@_-"/>
    <numFmt numFmtId="168" formatCode="&quot;$&quot;\ #,##0"/>
    <numFmt numFmtId="169" formatCode="&quot;$&quot;\ #,##0.000000_);[Red]\(&quot;$&quot;\ #,##0.000000\)"/>
    <numFmt numFmtId="170" formatCode="0.0%"/>
  </numFmts>
  <fonts count="1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2"/>
      <color theme="0"/>
      <name val="Roboto"/>
    </font>
    <font>
      <sz val="12"/>
      <color theme="1"/>
      <name val="Roboto"/>
    </font>
    <font>
      <b/>
      <sz val="14"/>
      <color theme="0"/>
      <name val="Roboto"/>
    </font>
    <font>
      <b/>
      <sz val="12"/>
      <color theme="1"/>
      <name val="Roboto"/>
    </font>
    <font>
      <sz val="14"/>
      <color theme="1"/>
      <name val="Roboto"/>
    </font>
    <font>
      <b/>
      <sz val="16"/>
      <color theme="1"/>
      <name val="Roboto"/>
    </font>
    <font>
      <b/>
      <sz val="13"/>
      <color theme="1"/>
      <name val="Roboto"/>
    </font>
  </fonts>
  <fills count="12">
    <fill>
      <patternFill patternType="none"/>
    </fill>
    <fill>
      <patternFill patternType="gray125"/>
    </fill>
    <fill>
      <patternFill patternType="solid">
        <fgColor theme="4" tint="0.39997558519241921"/>
        <bgColor indexed="64"/>
      </patternFill>
    </fill>
    <fill>
      <patternFill patternType="solid">
        <fgColor theme="2"/>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C12A25"/>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0"/>
        <bgColor indexed="64"/>
      </patternFill>
    </fill>
    <fill>
      <patternFill patternType="solid">
        <fgColor rgb="FFFFE900"/>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theme="2" tint="-0.24994659260841701"/>
      </left>
      <right/>
      <top/>
      <bottom style="thick">
        <color rgb="FF333333"/>
      </bottom>
      <diagonal/>
    </border>
    <border>
      <left/>
      <right/>
      <top/>
      <bottom style="thick">
        <color rgb="FF333333"/>
      </bottom>
      <diagonal/>
    </border>
    <border>
      <left/>
      <right style="medium">
        <color indexed="64"/>
      </right>
      <top/>
      <bottom style="thick">
        <color rgb="FF333333"/>
      </bottom>
      <diagonal/>
    </border>
    <border>
      <left style="medium">
        <color theme="2" tint="-0.24994659260841701"/>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theme="2" tint="-0.2499465926084170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theme="2" tint="-0.24994659260841701"/>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theme="2" tint="-0.24994659260841701"/>
      </left>
      <right/>
      <top style="medium">
        <color indexed="64"/>
      </top>
      <bottom/>
      <diagonal/>
    </border>
    <border>
      <left/>
      <right style="medium">
        <color indexed="64"/>
      </right>
      <top style="medium">
        <color indexed="64"/>
      </top>
      <bottom/>
      <diagonal/>
    </border>
    <border>
      <left style="medium">
        <color theme="2" tint="-0.24994659260841701"/>
      </left>
      <right/>
      <top style="medium">
        <color indexed="64"/>
      </top>
      <bottom style="thick">
        <color rgb="FF333333"/>
      </bottom>
      <diagonal/>
    </border>
    <border>
      <left/>
      <right/>
      <top style="medium">
        <color indexed="64"/>
      </top>
      <bottom style="thick">
        <color rgb="FF333333"/>
      </bottom>
      <diagonal/>
    </border>
    <border>
      <left/>
      <right style="medium">
        <color indexed="64"/>
      </right>
      <top style="medium">
        <color indexed="64"/>
      </top>
      <bottom style="thick">
        <color rgb="FF333333"/>
      </bottom>
      <diagonal/>
    </border>
    <border>
      <left style="medium">
        <color theme="2" tint="-0.24994659260841701"/>
      </left>
      <right/>
      <top style="thick">
        <color rgb="FF333333"/>
      </top>
      <bottom style="medium">
        <color indexed="64"/>
      </bottom>
      <diagonal/>
    </border>
    <border>
      <left/>
      <right/>
      <top style="thick">
        <color rgb="FF333333"/>
      </top>
      <bottom style="medium">
        <color indexed="64"/>
      </bottom>
      <diagonal/>
    </border>
    <border>
      <left/>
      <right style="medium">
        <color indexed="64"/>
      </right>
      <top style="thick">
        <color rgb="FF333333"/>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42"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208">
    <xf numFmtId="0" fontId="0" fillId="0" borderId="0" xfId="0"/>
    <xf numFmtId="0" fontId="2" fillId="0" borderId="0" xfId="0" applyFont="1"/>
    <xf numFmtId="0" fontId="2" fillId="0" borderId="0" xfId="0" applyFont="1" applyAlignment="1">
      <alignment horizontal="right"/>
    </xf>
    <xf numFmtId="0" fontId="2" fillId="0" borderId="0" xfId="0" applyFont="1" applyAlignment="1">
      <alignment horizontal="right" vertical="center"/>
    </xf>
    <xf numFmtId="42" fontId="2" fillId="0" borderId="0" xfId="1" applyFont="1" applyAlignment="1">
      <alignment horizontal="right"/>
    </xf>
    <xf numFmtId="0" fontId="2" fillId="0" borderId="0" xfId="0" applyNumberFormat="1" applyFont="1" applyFill="1" applyBorder="1" applyAlignment="1">
      <alignment horizontal="right"/>
    </xf>
    <xf numFmtId="166" fontId="2" fillId="0" borderId="0" xfId="2" applyNumberFormat="1" applyFont="1" applyFill="1" applyBorder="1" applyAlignment="1">
      <alignment horizontal="right"/>
    </xf>
    <xf numFmtId="42" fontId="2" fillId="0" borderId="0" xfId="1" applyFont="1"/>
    <xf numFmtId="0" fontId="3" fillId="0" borderId="0" xfId="0" applyFont="1" applyAlignment="1">
      <alignment horizontal="center" wrapText="1"/>
    </xf>
    <xf numFmtId="0" fontId="3" fillId="0" borderId="0" xfId="0" applyFont="1" applyAlignment="1">
      <alignment horizontal="center"/>
    </xf>
    <xf numFmtId="0" fontId="2" fillId="0" borderId="0" xfId="0" applyFont="1" applyAlignment="1">
      <alignment vertical="center"/>
    </xf>
    <xf numFmtId="0" fontId="2" fillId="0" borderId="0" xfId="0" applyFont="1" applyAlignment="1">
      <alignment horizontal="center" vertical="top"/>
    </xf>
    <xf numFmtId="14" fontId="2" fillId="0" borderId="0" xfId="0" applyNumberFormat="1" applyFont="1"/>
    <xf numFmtId="42" fontId="2" fillId="0" borderId="0" xfId="0" applyNumberFormat="1" applyFont="1"/>
    <xf numFmtId="0" fontId="2" fillId="0" borderId="0" xfId="0" applyFont="1" applyAlignment="1"/>
    <xf numFmtId="14" fontId="3" fillId="0" borderId="0" xfId="0" applyNumberFormat="1" applyFont="1"/>
    <xf numFmtId="0" fontId="2" fillId="2" borderId="0" xfId="0" applyFont="1" applyFill="1" applyAlignment="1">
      <alignment horizontal="right"/>
    </xf>
    <xf numFmtId="0" fontId="0" fillId="2" borderId="0" xfId="0" applyFill="1"/>
    <xf numFmtId="0" fontId="2" fillId="2" borderId="0" xfId="0" applyFont="1" applyFill="1" applyAlignment="1">
      <alignment horizontal="center"/>
    </xf>
    <xf numFmtId="0" fontId="2" fillId="2" borderId="0" xfId="0" applyFont="1" applyFill="1" applyAlignment="1">
      <alignment horizontal="right" vertical="center"/>
    </xf>
    <xf numFmtId="42" fontId="2" fillId="2" borderId="0" xfId="1" applyFont="1" applyFill="1" applyAlignment="1">
      <alignment horizontal="right"/>
    </xf>
    <xf numFmtId="0" fontId="2" fillId="2" borderId="0" xfId="0" applyNumberFormat="1" applyFont="1" applyFill="1" applyBorder="1" applyAlignment="1">
      <alignment horizontal="right"/>
    </xf>
    <xf numFmtId="42" fontId="2" fillId="2" borderId="0" xfId="0" applyNumberFormat="1" applyFont="1" applyFill="1" applyAlignment="1">
      <alignment horizontal="right"/>
    </xf>
    <xf numFmtId="166" fontId="2" fillId="2" borderId="0" xfId="2" applyNumberFormat="1" applyFont="1" applyFill="1" applyBorder="1" applyAlignment="1">
      <alignment horizontal="right"/>
    </xf>
    <xf numFmtId="0" fontId="0" fillId="2" borderId="0" xfId="0" applyFill="1" applyAlignment="1"/>
    <xf numFmtId="0" fontId="2" fillId="4" borderId="0" xfId="0" applyFont="1" applyFill="1"/>
    <xf numFmtId="0" fontId="2" fillId="4" borderId="0" xfId="0" applyFont="1" applyFill="1" applyAlignment="1">
      <alignment horizontal="left"/>
    </xf>
    <xf numFmtId="0" fontId="3" fillId="4" borderId="0" xfId="0" applyFont="1" applyFill="1" applyAlignment="1">
      <alignment horizontal="center"/>
    </xf>
    <xf numFmtId="42" fontId="2" fillId="4" borderId="0" xfId="1" applyFont="1" applyFill="1"/>
    <xf numFmtId="42" fontId="2" fillId="4" borderId="0" xfId="0" applyNumberFormat="1" applyFont="1" applyFill="1"/>
    <xf numFmtId="0" fontId="3" fillId="4" borderId="0" xfId="0" applyFont="1" applyFill="1" applyAlignment="1"/>
    <xf numFmtId="0" fontId="2" fillId="4" borderId="0" xfId="0" applyFont="1" applyFill="1" applyAlignment="1"/>
    <xf numFmtId="42" fontId="2" fillId="4" borderId="0" xfId="1" applyFont="1" applyFill="1" applyAlignment="1">
      <alignment horizontal="right"/>
    </xf>
    <xf numFmtId="0" fontId="0" fillId="4" borderId="0" xfId="0" applyFill="1"/>
    <xf numFmtId="166" fontId="2" fillId="4" borderId="0" xfId="2" applyNumberFormat="1" applyFont="1" applyFill="1" applyBorder="1" applyAlignment="1">
      <alignment horizontal="right"/>
    </xf>
    <xf numFmtId="166" fontId="0" fillId="4" borderId="0" xfId="2" applyNumberFormat="1" applyFont="1" applyFill="1"/>
    <xf numFmtId="14" fontId="2" fillId="4" borderId="0" xfId="0" applyNumberFormat="1" applyFont="1" applyFill="1" applyAlignment="1">
      <alignment horizontal="right"/>
    </xf>
    <xf numFmtId="0" fontId="2" fillId="4" borderId="0" xfId="0" applyFont="1" applyFill="1" applyAlignment="1">
      <alignment horizontal="right"/>
    </xf>
    <xf numFmtId="0" fontId="2" fillId="4" borderId="0" xfId="0" applyNumberFormat="1" applyFont="1" applyFill="1"/>
    <xf numFmtId="0" fontId="2" fillId="4" borderId="0" xfId="0" applyNumberFormat="1" applyFont="1" applyFill="1" applyAlignment="1">
      <alignment horizontal="left"/>
    </xf>
    <xf numFmtId="0" fontId="3" fillId="4" borderId="0" xfId="0" applyNumberFormat="1" applyFont="1" applyFill="1" applyAlignment="1">
      <alignment horizontal="center" wrapText="1"/>
    </xf>
    <xf numFmtId="0" fontId="3" fillId="4" borderId="0" xfId="0" applyNumberFormat="1" applyFont="1" applyFill="1"/>
    <xf numFmtId="44" fontId="2" fillId="5" borderId="0" xfId="0" applyNumberFormat="1" applyFont="1" applyFill="1" applyAlignment="1">
      <alignment horizontal="right"/>
    </xf>
    <xf numFmtId="0" fontId="2" fillId="0" borderId="0" xfId="0" applyNumberFormat="1" applyFont="1" applyAlignment="1"/>
    <xf numFmtId="0" fontId="2" fillId="4" borderId="0" xfId="0" applyNumberFormat="1" applyFont="1" applyFill="1" applyAlignment="1">
      <alignment horizontal="right"/>
    </xf>
    <xf numFmtId="0" fontId="2" fillId="6" borderId="0" xfId="0" applyFont="1" applyFill="1"/>
    <xf numFmtId="0" fontId="2" fillId="6" borderId="0" xfId="0" applyNumberFormat="1" applyFont="1" applyFill="1"/>
    <xf numFmtId="14" fontId="2" fillId="6" borderId="0" xfId="0" applyNumberFormat="1" applyFont="1" applyFill="1" applyAlignment="1">
      <alignment horizontal="right"/>
    </xf>
    <xf numFmtId="0" fontId="2" fillId="6" borderId="0" xfId="0" applyFont="1" applyFill="1" applyAlignment="1">
      <alignment horizontal="right"/>
    </xf>
    <xf numFmtId="0" fontId="0" fillId="6" borderId="0" xfId="0" applyFill="1"/>
    <xf numFmtId="0" fontId="2" fillId="6" borderId="0" xfId="0" applyNumberFormat="1" applyFont="1" applyFill="1" applyAlignment="1">
      <alignment horizontal="right"/>
    </xf>
    <xf numFmtId="42" fontId="2" fillId="0" borderId="0" xfId="0" applyNumberFormat="1" applyFont="1" applyAlignment="1"/>
    <xf numFmtId="167" fontId="2" fillId="0" borderId="0" xfId="3" applyNumberFormat="1" applyFont="1" applyAlignment="1"/>
    <xf numFmtId="167" fontId="2" fillId="0" borderId="0" xfId="3" applyNumberFormat="1" applyFont="1"/>
    <xf numFmtId="0" fontId="2" fillId="0" borderId="0" xfId="0" applyFont="1" applyAlignment="1">
      <alignment horizontal="left"/>
    </xf>
    <xf numFmtId="0" fontId="2" fillId="5" borderId="0" xfId="0" applyFont="1" applyFill="1" applyAlignment="1">
      <alignment horizontal="left"/>
    </xf>
    <xf numFmtId="42" fontId="2" fillId="4" borderId="0" xfId="0" applyNumberFormat="1" applyFont="1" applyFill="1" applyAlignment="1">
      <alignment horizontal="right"/>
    </xf>
    <xf numFmtId="8" fontId="2" fillId="4" borderId="0" xfId="0" applyNumberFormat="1" applyFont="1" applyFill="1" applyAlignment="1">
      <alignment horizontal="right"/>
    </xf>
    <xf numFmtId="44" fontId="2" fillId="0" borderId="0" xfId="0" applyNumberFormat="1" applyFont="1"/>
    <xf numFmtId="41" fontId="2" fillId="0" borderId="0" xfId="3" applyFont="1" applyAlignment="1"/>
    <xf numFmtId="0" fontId="3" fillId="4" borderId="0" xfId="0" applyFont="1" applyFill="1" applyAlignment="1">
      <alignment horizontal="center" wrapText="1"/>
    </xf>
    <xf numFmtId="4" fontId="0" fillId="0" borderId="0" xfId="0" applyNumberFormat="1"/>
    <xf numFmtId="165" fontId="0" fillId="0" borderId="0" xfId="0" applyNumberFormat="1"/>
    <xf numFmtId="2" fontId="0" fillId="0" borderId="0" xfId="0" applyNumberFormat="1"/>
    <xf numFmtId="20" fontId="0" fillId="0" borderId="0" xfId="0" applyNumberFormat="1"/>
    <xf numFmtId="14" fontId="5" fillId="9" borderId="4" xfId="0" applyNumberFormat="1" applyFont="1" applyFill="1" applyBorder="1" applyProtection="1">
      <protection hidden="1"/>
    </xf>
    <xf numFmtId="0" fontId="5" fillId="9" borderId="4" xfId="0" applyNumberFormat="1" applyFont="1" applyFill="1" applyBorder="1" applyProtection="1">
      <protection hidden="1"/>
    </xf>
    <xf numFmtId="42" fontId="5" fillId="9" borderId="4" xfId="1" applyFont="1" applyFill="1" applyBorder="1" applyProtection="1">
      <protection hidden="1"/>
    </xf>
    <xf numFmtId="42" fontId="5" fillId="0" borderId="4" xfId="1" applyFont="1" applyBorder="1" applyProtection="1">
      <protection hidden="1"/>
    </xf>
    <xf numFmtId="42" fontId="5" fillId="4" borderId="4" xfId="1" applyFont="1" applyFill="1" applyBorder="1" applyProtection="1">
      <protection hidden="1"/>
    </xf>
    <xf numFmtId="0" fontId="5" fillId="4" borderId="2" xfId="0" applyFont="1" applyFill="1" applyBorder="1" applyAlignment="1" applyProtection="1">
      <protection hidden="1"/>
    </xf>
    <xf numFmtId="0" fontId="5" fillId="4" borderId="6" xfId="0" applyFont="1" applyFill="1" applyBorder="1" applyAlignment="1" applyProtection="1">
      <protection hidden="1"/>
    </xf>
    <xf numFmtId="0" fontId="7" fillId="9" borderId="3" xfId="0" applyFont="1" applyFill="1" applyBorder="1" applyAlignment="1" applyProtection="1">
      <alignment horizontal="center" vertical="top"/>
      <protection hidden="1"/>
    </xf>
    <xf numFmtId="42" fontId="5" fillId="9" borderId="31" xfId="1" applyFont="1" applyFill="1" applyBorder="1" applyProtection="1">
      <protection hidden="1"/>
    </xf>
    <xf numFmtId="0" fontId="6" fillId="7" borderId="5" xfId="0" applyFont="1" applyFill="1" applyBorder="1" applyAlignment="1" applyProtection="1">
      <alignment horizontal="center" vertical="top"/>
      <protection hidden="1"/>
    </xf>
    <xf numFmtId="14" fontId="6" fillId="7" borderId="6" xfId="0" applyNumberFormat="1" applyFont="1" applyFill="1" applyBorder="1" applyProtection="1">
      <protection hidden="1"/>
    </xf>
    <xf numFmtId="0" fontId="6" fillId="7" borderId="6" xfId="0" applyNumberFormat="1" applyFont="1" applyFill="1" applyBorder="1" applyProtection="1">
      <protection hidden="1"/>
    </xf>
    <xf numFmtId="42" fontId="6" fillId="7" borderId="6" xfId="0" applyNumberFormat="1" applyFont="1" applyFill="1" applyBorder="1" applyProtection="1">
      <protection hidden="1"/>
    </xf>
    <xf numFmtId="42" fontId="6" fillId="7" borderId="32" xfId="0" applyNumberFormat="1" applyFont="1" applyFill="1" applyBorder="1" applyProtection="1">
      <protection hidden="1"/>
    </xf>
    <xf numFmtId="0" fontId="2" fillId="4" borderId="0" xfId="0" applyFont="1" applyFill="1" applyProtection="1">
      <protection hidden="1"/>
    </xf>
    <xf numFmtId="0" fontId="0" fillId="4" borderId="0" xfId="0" applyFill="1" applyProtection="1">
      <protection hidden="1"/>
    </xf>
    <xf numFmtId="0" fontId="2" fillId="4" borderId="0" xfId="0" applyNumberFormat="1" applyFont="1" applyFill="1" applyAlignment="1" applyProtection="1">
      <alignment horizontal="right"/>
      <protection hidden="1"/>
    </xf>
    <xf numFmtId="0" fontId="2" fillId="4" borderId="0" xfId="0" applyFont="1" applyFill="1" applyAlignment="1" applyProtection="1">
      <alignment horizontal="right"/>
      <protection hidden="1"/>
    </xf>
    <xf numFmtId="0" fontId="2" fillId="4" borderId="0" xfId="0" applyNumberFormat="1" applyFont="1" applyFill="1" applyProtection="1">
      <protection hidden="1"/>
    </xf>
    <xf numFmtId="14" fontId="2" fillId="4" borderId="0" xfId="0" applyNumberFormat="1" applyFont="1" applyFill="1" applyAlignment="1" applyProtection="1">
      <alignment horizontal="right"/>
      <protection hidden="1"/>
    </xf>
    <xf numFmtId="0" fontId="2" fillId="0" borderId="0" xfId="0" applyFont="1" applyFill="1" applyProtection="1">
      <protection hidden="1"/>
    </xf>
    <xf numFmtId="0" fontId="2" fillId="0" borderId="0" xfId="0" applyNumberFormat="1" applyFont="1" applyFill="1" applyProtection="1">
      <protection hidden="1"/>
    </xf>
    <xf numFmtId="0" fontId="2" fillId="4" borderId="20" xfId="0" applyFont="1" applyFill="1" applyBorder="1" applyAlignment="1" applyProtection="1">
      <protection hidden="1"/>
    </xf>
    <xf numFmtId="0" fontId="2" fillId="4" borderId="0" xfId="0" applyFont="1" applyFill="1" applyAlignment="1" applyProtection="1">
      <protection hidden="1"/>
    </xf>
    <xf numFmtId="0" fontId="2" fillId="0" borderId="0" xfId="0" applyFont="1" applyAlignment="1" applyProtection="1">
      <protection hidden="1"/>
    </xf>
    <xf numFmtId="42" fontId="2" fillId="4" borderId="0" xfId="0" applyNumberFormat="1" applyFont="1" applyFill="1" applyAlignment="1" applyProtection="1">
      <protection hidden="1"/>
    </xf>
    <xf numFmtId="0" fontId="2" fillId="0" borderId="0" xfId="0" applyFont="1" applyProtection="1">
      <protection hidden="1"/>
    </xf>
    <xf numFmtId="0" fontId="2" fillId="0" borderId="0" xfId="0" applyFont="1" applyAlignment="1" applyProtection="1">
      <alignment horizontal="right"/>
      <protection hidden="1"/>
    </xf>
    <xf numFmtId="0" fontId="2" fillId="2" borderId="0" xfId="0" applyFont="1" applyFill="1" applyAlignment="1" applyProtection="1">
      <alignment horizontal="right" vertical="center"/>
      <protection hidden="1"/>
    </xf>
    <xf numFmtId="0" fontId="0" fillId="2" borderId="0" xfId="0" applyFill="1" applyProtection="1">
      <protection hidden="1"/>
    </xf>
    <xf numFmtId="0" fontId="0" fillId="0" borderId="0" xfId="0" applyProtection="1">
      <protection hidden="1"/>
    </xf>
    <xf numFmtId="0" fontId="2" fillId="4" borderId="0" xfId="0" applyFont="1" applyFill="1" applyBorder="1" applyAlignment="1" applyProtection="1">
      <protection hidden="1"/>
    </xf>
    <xf numFmtId="42" fontId="2" fillId="2" borderId="0" xfId="1" applyFont="1" applyFill="1" applyAlignment="1" applyProtection="1">
      <alignment horizontal="right"/>
      <protection hidden="1"/>
    </xf>
    <xf numFmtId="10" fontId="2" fillId="4" borderId="0" xfId="0" applyNumberFormat="1" applyFont="1" applyFill="1" applyAlignment="1" applyProtection="1">
      <protection hidden="1"/>
    </xf>
    <xf numFmtId="0" fontId="2" fillId="2" borderId="0" xfId="0" applyNumberFormat="1" applyFont="1" applyFill="1" applyBorder="1" applyAlignment="1" applyProtection="1">
      <alignment horizontal="right"/>
      <protection hidden="1"/>
    </xf>
    <xf numFmtId="0" fontId="2" fillId="4" borderId="19" xfId="0" applyFont="1" applyFill="1" applyBorder="1" applyAlignment="1" applyProtection="1">
      <alignment horizontal="left"/>
      <protection hidden="1"/>
    </xf>
    <xf numFmtId="0" fontId="2" fillId="4" borderId="0" xfId="0" applyFont="1" applyFill="1" applyBorder="1" applyAlignment="1" applyProtection="1">
      <alignment horizontal="left"/>
      <protection hidden="1"/>
    </xf>
    <xf numFmtId="0" fontId="2" fillId="4" borderId="0" xfId="0" applyNumberFormat="1" applyFont="1" applyFill="1" applyBorder="1" applyAlignment="1" applyProtection="1">
      <alignment horizontal="left"/>
      <protection hidden="1"/>
    </xf>
    <xf numFmtId="0" fontId="2" fillId="4" borderId="0" xfId="0" applyFont="1" applyFill="1" applyAlignment="1" applyProtection="1">
      <alignment horizontal="left"/>
      <protection hidden="1"/>
    </xf>
    <xf numFmtId="42" fontId="2" fillId="4" borderId="0" xfId="1" applyFont="1" applyFill="1" applyAlignment="1" applyProtection="1">
      <alignment horizontal="right"/>
      <protection hidden="1"/>
    </xf>
    <xf numFmtId="0" fontId="2" fillId="4" borderId="24" xfId="0" applyFont="1" applyFill="1" applyBorder="1" applyAlignment="1" applyProtection="1">
      <protection hidden="1"/>
    </xf>
    <xf numFmtId="10" fontId="2" fillId="4" borderId="0" xfId="2" applyNumberFormat="1" applyFont="1" applyFill="1" applyBorder="1" applyAlignment="1" applyProtection="1">
      <alignment horizontal="right"/>
      <protection hidden="1"/>
    </xf>
    <xf numFmtId="166" fontId="2" fillId="2" borderId="0" xfId="2" applyNumberFormat="1" applyFont="1" applyFill="1" applyBorder="1" applyAlignment="1" applyProtection="1">
      <alignment horizontal="right"/>
      <protection hidden="1"/>
    </xf>
    <xf numFmtId="0" fontId="2" fillId="4" borderId="14" xfId="0" applyFont="1" applyFill="1" applyBorder="1" applyAlignment="1" applyProtection="1">
      <protection hidden="1"/>
    </xf>
    <xf numFmtId="0" fontId="2" fillId="0" borderId="0" xfId="0" applyFont="1" applyFill="1" applyAlignment="1" applyProtection="1">
      <alignment horizontal="left"/>
      <protection hidden="1"/>
    </xf>
    <xf numFmtId="165" fontId="2" fillId="0" borderId="0" xfId="0" applyNumberFormat="1" applyFont="1" applyFill="1" applyAlignment="1" applyProtection="1">
      <alignment horizontal="left"/>
      <protection hidden="1"/>
    </xf>
    <xf numFmtId="8" fontId="2" fillId="0" borderId="0" xfId="0" applyNumberFormat="1" applyFont="1" applyFill="1" applyAlignment="1" applyProtection="1">
      <alignment horizontal="right"/>
      <protection hidden="1"/>
    </xf>
    <xf numFmtId="42" fontId="2" fillId="0" borderId="0" xfId="0" applyNumberFormat="1" applyFont="1" applyFill="1" applyAlignment="1" applyProtection="1">
      <alignment horizontal="right"/>
      <protection hidden="1"/>
    </xf>
    <xf numFmtId="0" fontId="0" fillId="0" borderId="0" xfId="0" applyFill="1" applyProtection="1">
      <protection hidden="1"/>
    </xf>
    <xf numFmtId="42" fontId="2" fillId="2" borderId="0" xfId="0" applyNumberFormat="1" applyFont="1" applyFill="1" applyAlignment="1" applyProtection="1">
      <alignment horizontal="right"/>
      <protection hidden="1"/>
    </xf>
    <xf numFmtId="0" fontId="2" fillId="0" borderId="0" xfId="0" applyFont="1" applyAlignment="1" applyProtection="1">
      <alignment horizontal="left"/>
      <protection hidden="1"/>
    </xf>
    <xf numFmtId="0" fontId="2" fillId="4" borderId="0" xfId="0" applyNumberFormat="1" applyFont="1" applyFill="1" applyAlignment="1" applyProtection="1">
      <alignment horizontal="left"/>
      <protection hidden="1"/>
    </xf>
    <xf numFmtId="42" fontId="2" fillId="0" borderId="0" xfId="1" applyFont="1" applyProtection="1">
      <protection hidden="1"/>
    </xf>
    <xf numFmtId="42" fontId="2" fillId="0" borderId="0" xfId="1" applyFont="1" applyAlignment="1" applyProtection="1">
      <alignment horizontal="right"/>
      <protection hidden="1"/>
    </xf>
    <xf numFmtId="0" fontId="3" fillId="4" borderId="0" xfId="0" applyFont="1" applyFill="1" applyAlignment="1" applyProtection="1">
      <alignment horizontal="center"/>
      <protection hidden="1"/>
    </xf>
    <xf numFmtId="0" fontId="3" fillId="4" borderId="0" xfId="0" applyFont="1" applyFill="1" applyAlignment="1" applyProtection="1">
      <protection hidden="1"/>
    </xf>
    <xf numFmtId="42" fontId="2" fillId="0" borderId="0" xfId="0" applyNumberFormat="1" applyFont="1" applyAlignment="1" applyProtection="1">
      <alignment vertical="center"/>
      <protection hidden="1"/>
    </xf>
    <xf numFmtId="0" fontId="2" fillId="0" borderId="0" xfId="0" applyFont="1" applyAlignment="1" applyProtection="1">
      <alignment horizontal="right" vertical="center"/>
      <protection hidden="1"/>
    </xf>
    <xf numFmtId="42" fontId="2" fillId="4" borderId="0" xfId="0" applyNumberFormat="1" applyFont="1" applyFill="1" applyProtection="1">
      <protection hidden="1"/>
    </xf>
    <xf numFmtId="169" fontId="2" fillId="0" borderId="0" xfId="0" applyNumberFormat="1" applyFont="1" applyAlignment="1" applyProtection="1">
      <protection hidden="1"/>
    </xf>
    <xf numFmtId="14" fontId="2" fillId="0" borderId="0" xfId="0" applyNumberFormat="1" applyFont="1" applyProtection="1">
      <protection hidden="1"/>
    </xf>
    <xf numFmtId="0" fontId="2" fillId="2" borderId="0" xfId="0" applyFont="1" applyFill="1" applyAlignment="1" applyProtection="1">
      <alignment horizontal="right"/>
      <protection hidden="1"/>
    </xf>
    <xf numFmtId="0" fontId="0" fillId="2" borderId="0" xfId="0" applyFill="1" applyAlignment="1" applyProtection="1">
      <protection hidden="1"/>
    </xf>
    <xf numFmtId="42" fontId="2" fillId="4" borderId="0" xfId="1" applyFont="1" applyFill="1" applyProtection="1">
      <protection hidden="1"/>
    </xf>
    <xf numFmtId="42" fontId="2" fillId="0" borderId="0" xfId="0" applyNumberFormat="1" applyFont="1" applyProtection="1">
      <protection hidden="1"/>
    </xf>
    <xf numFmtId="42" fontId="2" fillId="0" borderId="0" xfId="0" applyNumberFormat="1" applyFont="1" applyAlignment="1" applyProtection="1">
      <protection hidden="1"/>
    </xf>
    <xf numFmtId="0" fontId="2" fillId="0" borderId="19" xfId="0" applyFont="1" applyBorder="1" applyAlignment="1" applyProtection="1">
      <alignment horizontal="center" vertical="top"/>
      <protection hidden="1"/>
    </xf>
    <xf numFmtId="14" fontId="2" fillId="0" borderId="0" xfId="0" applyNumberFormat="1" applyFont="1" applyBorder="1" applyProtection="1">
      <protection hidden="1"/>
    </xf>
    <xf numFmtId="0" fontId="2" fillId="4" borderId="0" xfId="0" applyNumberFormat="1" applyFont="1" applyFill="1" applyBorder="1" applyProtection="1">
      <protection hidden="1"/>
    </xf>
    <xf numFmtId="42" fontId="2" fillId="0" borderId="0" xfId="1" applyFont="1" applyBorder="1" applyProtection="1">
      <protection hidden="1"/>
    </xf>
    <xf numFmtId="42" fontId="2" fillId="4" borderId="0" xfId="1" applyFont="1" applyFill="1" applyBorder="1" applyProtection="1">
      <protection hidden="1"/>
    </xf>
    <xf numFmtId="164" fontId="2" fillId="0" borderId="0" xfId="1" applyNumberFormat="1" applyFont="1" applyBorder="1" applyAlignment="1" applyProtection="1">
      <alignment horizontal="center"/>
      <protection hidden="1"/>
    </xf>
    <xf numFmtId="42" fontId="2" fillId="0" borderId="0" xfId="1" applyNumberFormat="1" applyFont="1" applyBorder="1" applyProtection="1">
      <protection hidden="1"/>
    </xf>
    <xf numFmtId="42" fontId="2" fillId="0" borderId="21" xfId="1" applyFont="1" applyBorder="1" applyProtection="1">
      <protection hidden="1"/>
    </xf>
    <xf numFmtId="0" fontId="2" fillId="0" borderId="0" xfId="0" applyFont="1" applyAlignment="1" applyProtection="1">
      <alignment horizontal="center" vertical="top"/>
      <protection hidden="1"/>
    </xf>
    <xf numFmtId="0" fontId="0" fillId="4" borderId="0" xfId="0" applyFill="1" applyBorder="1" applyProtection="1">
      <protection locked="0" hidden="1"/>
    </xf>
    <xf numFmtId="42" fontId="2" fillId="4" borderId="0" xfId="1" applyFont="1" applyFill="1" applyBorder="1" applyAlignment="1" applyProtection="1">
      <alignment horizontal="right"/>
      <protection locked="0" hidden="1"/>
    </xf>
    <xf numFmtId="0" fontId="2" fillId="4" borderId="21" xfId="0" applyFont="1" applyFill="1" applyBorder="1" applyAlignment="1" applyProtection="1">
      <alignment horizontal="left"/>
      <protection locked="0" hidden="1"/>
    </xf>
    <xf numFmtId="0" fontId="2" fillId="0" borderId="0" xfId="0" applyFont="1" applyBorder="1" applyAlignment="1" applyProtection="1">
      <protection hidden="1"/>
    </xf>
    <xf numFmtId="0" fontId="2" fillId="0" borderId="21" xfId="0" applyFont="1" applyBorder="1" applyAlignment="1" applyProtection="1">
      <protection hidden="1"/>
    </xf>
    <xf numFmtId="0" fontId="0" fillId="0" borderId="0" xfId="0" applyBorder="1" applyProtection="1">
      <protection hidden="1"/>
    </xf>
    <xf numFmtId="0" fontId="2" fillId="11" borderId="19" xfId="0" applyFont="1" applyFill="1" applyBorder="1" applyAlignment="1" applyProtection="1">
      <protection hidden="1"/>
    </xf>
    <xf numFmtId="0" fontId="2" fillId="11" borderId="0" xfId="0" applyFont="1" applyFill="1" applyBorder="1" applyAlignment="1" applyProtection="1">
      <protection hidden="1"/>
    </xf>
    <xf numFmtId="0" fontId="7" fillId="11" borderId="25" xfId="0" applyFont="1" applyFill="1" applyBorder="1" applyAlignment="1" applyProtection="1">
      <protection hidden="1"/>
    </xf>
    <xf numFmtId="0" fontId="7" fillId="11" borderId="26" xfId="0" applyFont="1" applyFill="1" applyBorder="1" applyAlignment="1" applyProtection="1">
      <protection hidden="1"/>
    </xf>
    <xf numFmtId="0" fontId="10" fillId="11" borderId="1" xfId="0" applyFont="1" applyFill="1" applyBorder="1" applyAlignment="1" applyProtection="1">
      <alignment horizontal="center" vertical="center" wrapText="1"/>
      <protection hidden="1"/>
    </xf>
    <xf numFmtId="0" fontId="10" fillId="11" borderId="2" xfId="0" applyFont="1" applyFill="1" applyBorder="1" applyAlignment="1" applyProtection="1">
      <alignment horizontal="center" vertical="center" wrapText="1"/>
      <protection hidden="1"/>
    </xf>
    <xf numFmtId="0" fontId="10" fillId="11" borderId="2" xfId="0" applyNumberFormat="1" applyFont="1" applyFill="1" applyBorder="1" applyAlignment="1" applyProtection="1">
      <alignment horizontal="center" vertical="center" wrapText="1"/>
      <protection hidden="1"/>
    </xf>
    <xf numFmtId="0" fontId="10" fillId="11" borderId="2" xfId="0" applyFont="1" applyFill="1" applyBorder="1" applyAlignment="1" applyProtection="1">
      <alignment horizontal="center" vertical="center"/>
      <protection hidden="1"/>
    </xf>
    <xf numFmtId="0" fontId="10" fillId="11" borderId="30" xfId="0" applyFont="1" applyFill="1" applyBorder="1" applyAlignment="1" applyProtection="1">
      <alignment horizontal="center" vertical="center" wrapText="1"/>
      <protection hidden="1"/>
    </xf>
    <xf numFmtId="0" fontId="4" fillId="7" borderId="35" xfId="0" applyFont="1" applyFill="1" applyBorder="1" applyAlignment="1" applyProtection="1">
      <alignment horizontal="left"/>
      <protection hidden="1"/>
    </xf>
    <xf numFmtId="0" fontId="4" fillId="7" borderId="36" xfId="0" applyFont="1" applyFill="1" applyBorder="1" applyAlignment="1" applyProtection="1">
      <alignment horizontal="left"/>
      <protection hidden="1"/>
    </xf>
    <xf numFmtId="0" fontId="7" fillId="11" borderId="1" xfId="0" applyFont="1" applyFill="1" applyBorder="1" applyAlignment="1" applyProtection="1">
      <alignment horizontal="left"/>
      <protection hidden="1"/>
    </xf>
    <xf numFmtId="0" fontId="7" fillId="11" borderId="2" xfId="0" applyFont="1" applyFill="1" applyBorder="1" applyAlignment="1" applyProtection="1">
      <alignment horizontal="left"/>
      <protection hidden="1"/>
    </xf>
    <xf numFmtId="0" fontId="7" fillId="11" borderId="3" xfId="0" applyFont="1" applyFill="1" applyBorder="1" applyAlignment="1" applyProtection="1">
      <alignment horizontal="left"/>
      <protection hidden="1"/>
    </xf>
    <xf numFmtId="0" fontId="7" fillId="11" borderId="4" xfId="0" applyFont="1" applyFill="1" applyBorder="1" applyAlignment="1" applyProtection="1">
      <alignment horizontal="left"/>
      <protection hidden="1"/>
    </xf>
    <xf numFmtId="168" fontId="8" fillId="8" borderId="39" xfId="1" applyNumberFormat="1" applyFont="1" applyFill="1" applyBorder="1" applyAlignment="1" applyProtection="1">
      <alignment horizontal="center"/>
      <protection locked="0" hidden="1"/>
    </xf>
    <xf numFmtId="168" fontId="8" fillId="8" borderId="40" xfId="1" applyNumberFormat="1" applyFont="1" applyFill="1" applyBorder="1" applyAlignment="1" applyProtection="1">
      <alignment horizontal="center"/>
      <protection locked="0" hidden="1"/>
    </xf>
    <xf numFmtId="168" fontId="8" fillId="8" borderId="41" xfId="1" applyNumberFormat="1" applyFont="1" applyFill="1" applyBorder="1" applyAlignment="1" applyProtection="1">
      <alignment horizontal="center"/>
      <protection locked="0" hidden="1"/>
    </xf>
    <xf numFmtId="14" fontId="8" fillId="8" borderId="37" xfId="3" applyNumberFormat="1" applyFont="1" applyFill="1" applyBorder="1" applyAlignment="1" applyProtection="1">
      <alignment horizontal="center" vertical="center" wrapText="1"/>
      <protection locked="0" hidden="1"/>
    </xf>
    <xf numFmtId="14" fontId="8" fillId="8" borderId="20" xfId="3" applyNumberFormat="1" applyFont="1" applyFill="1" applyBorder="1" applyAlignment="1" applyProtection="1">
      <alignment horizontal="center" vertical="center" wrapText="1"/>
      <protection locked="0" hidden="1"/>
    </xf>
    <xf numFmtId="14" fontId="8" fillId="8" borderId="38" xfId="3" applyNumberFormat="1" applyFont="1" applyFill="1" applyBorder="1" applyAlignment="1" applyProtection="1">
      <alignment horizontal="center" vertical="center" wrapText="1"/>
      <protection locked="0" hidden="1"/>
    </xf>
    <xf numFmtId="0" fontId="8" fillId="8" borderId="7" xfId="0" applyNumberFormat="1" applyFont="1" applyFill="1" applyBorder="1" applyAlignment="1" applyProtection="1">
      <alignment horizontal="center" vertical="center"/>
      <protection locked="0" hidden="1"/>
    </xf>
    <xf numFmtId="0" fontId="8" fillId="8" borderId="8" xfId="0" applyNumberFormat="1" applyFont="1" applyFill="1" applyBorder="1" applyAlignment="1" applyProtection="1">
      <alignment horizontal="center" vertical="center"/>
      <protection locked="0" hidden="1"/>
    </xf>
    <xf numFmtId="0" fontId="8" fillId="8" borderId="9" xfId="0" applyNumberFormat="1" applyFont="1" applyFill="1" applyBorder="1" applyAlignment="1" applyProtection="1">
      <alignment horizontal="center" vertical="center"/>
      <protection locked="0" hidden="1"/>
    </xf>
    <xf numFmtId="0" fontId="2" fillId="3" borderId="45" xfId="0" applyFont="1" applyFill="1" applyBorder="1" applyAlignment="1" applyProtection="1">
      <alignment horizontal="left" vertical="center" wrapText="1"/>
      <protection hidden="1"/>
    </xf>
    <xf numFmtId="0" fontId="2" fillId="3" borderId="20" xfId="0" applyFont="1" applyFill="1" applyBorder="1" applyAlignment="1" applyProtection="1">
      <alignment horizontal="left" vertical="center" wrapText="1"/>
      <protection hidden="1"/>
    </xf>
    <xf numFmtId="0" fontId="2" fillId="3" borderId="38" xfId="0" applyFont="1" applyFill="1" applyBorder="1" applyAlignment="1" applyProtection="1">
      <alignment horizontal="left" vertical="center" wrapText="1"/>
      <protection hidden="1"/>
    </xf>
    <xf numFmtId="0" fontId="2" fillId="3" borderId="19" xfId="0" applyFont="1" applyFill="1" applyBorder="1" applyAlignment="1" applyProtection="1">
      <alignment horizontal="left" vertical="center" wrapText="1"/>
      <protection hidden="1"/>
    </xf>
    <xf numFmtId="0" fontId="2" fillId="3" borderId="0" xfId="0" applyFont="1" applyFill="1" applyBorder="1" applyAlignment="1" applyProtection="1">
      <alignment horizontal="left" vertical="center" wrapText="1"/>
      <protection hidden="1"/>
    </xf>
    <xf numFmtId="0" fontId="2" fillId="3" borderId="21" xfId="0" applyFont="1" applyFill="1" applyBorder="1" applyAlignment="1" applyProtection="1">
      <alignment horizontal="left" vertical="center" wrapText="1"/>
      <protection hidden="1"/>
    </xf>
    <xf numFmtId="0" fontId="2" fillId="3" borderId="46" xfId="0" applyFont="1" applyFill="1" applyBorder="1" applyAlignment="1" applyProtection="1">
      <alignment horizontal="left" vertical="center" wrapText="1"/>
      <protection hidden="1"/>
    </xf>
    <xf numFmtId="0" fontId="2" fillId="3" borderId="24" xfId="0" applyFont="1" applyFill="1" applyBorder="1" applyAlignment="1" applyProtection="1">
      <alignment horizontal="left" vertical="center" wrapText="1"/>
      <protection hidden="1"/>
    </xf>
    <xf numFmtId="0" fontId="2" fillId="3" borderId="47" xfId="0" applyFont="1" applyFill="1" applyBorder="1" applyAlignment="1" applyProtection="1">
      <alignment horizontal="left" vertical="center" wrapText="1"/>
      <protection hidden="1"/>
    </xf>
    <xf numFmtId="0" fontId="4" fillId="7" borderId="22" xfId="0" applyFont="1" applyFill="1" applyBorder="1" applyAlignment="1" applyProtection="1">
      <alignment horizontal="left"/>
      <protection hidden="1"/>
    </xf>
    <xf numFmtId="0" fontId="4" fillId="7" borderId="23" xfId="0" applyFont="1" applyFill="1" applyBorder="1" applyAlignment="1" applyProtection="1">
      <alignment horizontal="left"/>
      <protection hidden="1"/>
    </xf>
    <xf numFmtId="0" fontId="7" fillId="11" borderId="22" xfId="0" applyFont="1" applyFill="1" applyBorder="1" applyAlignment="1" applyProtection="1">
      <alignment horizontal="left"/>
      <protection hidden="1"/>
    </xf>
    <xf numFmtId="0" fontId="7" fillId="11" borderId="23" xfId="0" applyFont="1" applyFill="1" applyBorder="1" applyAlignment="1" applyProtection="1">
      <alignment horizontal="left"/>
      <protection hidden="1"/>
    </xf>
    <xf numFmtId="0" fontId="7" fillId="11" borderId="5" xfId="0" applyFont="1" applyFill="1" applyBorder="1" applyAlignment="1" applyProtection="1">
      <alignment horizontal="left"/>
      <protection hidden="1"/>
    </xf>
    <xf numFmtId="0" fontId="7" fillId="11" borderId="6" xfId="0" applyFont="1" applyFill="1" applyBorder="1" applyAlignment="1" applyProtection="1">
      <alignment horizontal="left"/>
      <protection hidden="1"/>
    </xf>
    <xf numFmtId="10" fontId="8" fillId="8" borderId="33" xfId="0" applyNumberFormat="1" applyFont="1" applyFill="1" applyBorder="1" applyAlignment="1" applyProtection="1">
      <alignment horizontal="center"/>
      <protection locked="0" hidden="1"/>
    </xf>
    <xf numFmtId="10" fontId="8" fillId="8" borderId="23" xfId="0" applyNumberFormat="1" applyFont="1" applyFill="1" applyBorder="1" applyAlignment="1" applyProtection="1">
      <alignment horizontal="center"/>
      <protection locked="0" hidden="1"/>
    </xf>
    <xf numFmtId="10" fontId="8" fillId="8" borderId="34" xfId="0" applyNumberFormat="1" applyFont="1" applyFill="1" applyBorder="1" applyAlignment="1" applyProtection="1">
      <alignment horizontal="center"/>
      <protection locked="0" hidden="1"/>
    </xf>
    <xf numFmtId="0" fontId="8" fillId="8" borderId="10" xfId="0" applyNumberFormat="1" applyFont="1" applyFill="1" applyBorder="1" applyAlignment="1" applyProtection="1">
      <alignment horizontal="center"/>
      <protection locked="0" hidden="1"/>
    </xf>
    <xf numFmtId="0" fontId="8" fillId="8" borderId="11" xfId="0" applyNumberFormat="1" applyFont="1" applyFill="1" applyBorder="1" applyAlignment="1" applyProtection="1">
      <alignment horizontal="center"/>
      <protection locked="0" hidden="1"/>
    </xf>
    <xf numFmtId="0" fontId="8" fillId="8" borderId="12" xfId="0" applyNumberFormat="1" applyFont="1" applyFill="1" applyBorder="1" applyAlignment="1" applyProtection="1">
      <alignment horizontal="center"/>
      <protection locked="0" hidden="1"/>
    </xf>
    <xf numFmtId="168" fontId="8" fillId="8" borderId="13" xfId="1" applyNumberFormat="1" applyFont="1" applyFill="1" applyBorder="1" applyAlignment="1" applyProtection="1">
      <alignment horizontal="center"/>
      <protection hidden="1"/>
    </xf>
    <xf numFmtId="168" fontId="8" fillId="8" borderId="14" xfId="1" applyNumberFormat="1" applyFont="1" applyFill="1" applyBorder="1" applyAlignment="1" applyProtection="1">
      <alignment horizontal="center"/>
      <protection hidden="1"/>
    </xf>
    <xf numFmtId="168" fontId="8" fillId="8" borderId="15" xfId="1" applyNumberFormat="1" applyFont="1" applyFill="1" applyBorder="1" applyAlignment="1" applyProtection="1">
      <alignment horizontal="center"/>
      <protection hidden="1"/>
    </xf>
    <xf numFmtId="0" fontId="7" fillId="10" borderId="0" xfId="0" applyFont="1" applyFill="1" applyBorder="1" applyAlignment="1" applyProtection="1">
      <alignment horizontal="center" wrapText="1"/>
      <protection hidden="1"/>
    </xf>
    <xf numFmtId="170" fontId="5" fillId="3" borderId="27" xfId="2" applyNumberFormat="1" applyFont="1" applyFill="1" applyBorder="1" applyAlignment="1" applyProtection="1">
      <alignment horizontal="center"/>
      <protection hidden="1"/>
    </xf>
    <xf numFmtId="170" fontId="5" fillId="3" borderId="28" xfId="2" applyNumberFormat="1" applyFont="1" applyFill="1" applyBorder="1" applyAlignment="1" applyProtection="1">
      <alignment horizontal="center"/>
      <protection hidden="1"/>
    </xf>
    <xf numFmtId="170" fontId="5" fillId="3" borderId="29" xfId="2" applyNumberFormat="1" applyFont="1" applyFill="1" applyBorder="1" applyAlignment="1" applyProtection="1">
      <alignment horizontal="center"/>
      <protection hidden="1"/>
    </xf>
    <xf numFmtId="10" fontId="5" fillId="3" borderId="16" xfId="2" applyNumberFormat="1" applyFont="1" applyFill="1" applyBorder="1" applyAlignment="1" applyProtection="1">
      <alignment horizontal="center"/>
      <protection hidden="1"/>
    </xf>
    <xf numFmtId="10" fontId="5" fillId="3" borderId="17" xfId="2" applyNumberFormat="1" applyFont="1" applyFill="1" applyBorder="1" applyAlignment="1" applyProtection="1">
      <alignment horizontal="center"/>
      <protection hidden="1"/>
    </xf>
    <xf numFmtId="10" fontId="5" fillId="3" borderId="18" xfId="2" applyNumberFormat="1" applyFont="1" applyFill="1" applyBorder="1" applyAlignment="1" applyProtection="1">
      <alignment horizontal="center"/>
      <protection hidden="1"/>
    </xf>
    <xf numFmtId="0" fontId="9" fillId="11" borderId="22" xfId="0" applyFont="1" applyFill="1" applyBorder="1" applyAlignment="1" applyProtection="1">
      <alignment horizontal="left"/>
      <protection hidden="1"/>
    </xf>
    <xf numFmtId="0" fontId="9" fillId="11" borderId="23" xfId="0" applyFont="1" applyFill="1" applyBorder="1" applyAlignment="1" applyProtection="1">
      <alignment horizontal="left"/>
      <protection hidden="1"/>
    </xf>
    <xf numFmtId="168" fontId="8" fillId="8" borderId="42" xfId="1" applyNumberFormat="1" applyFont="1" applyFill="1" applyBorder="1" applyAlignment="1" applyProtection="1">
      <alignment horizontal="center"/>
      <protection locked="0" hidden="1"/>
    </xf>
    <xf numFmtId="168" fontId="8" fillId="8" borderId="43" xfId="1" applyNumberFormat="1" applyFont="1" applyFill="1" applyBorder="1" applyAlignment="1" applyProtection="1">
      <alignment horizontal="center"/>
      <protection locked="0" hidden="1"/>
    </xf>
    <xf numFmtId="168" fontId="8" fillId="8" borderId="44" xfId="1" applyNumberFormat="1" applyFont="1" applyFill="1" applyBorder="1" applyAlignment="1" applyProtection="1">
      <alignment horizontal="center"/>
      <protection locked="0" hidden="1"/>
    </xf>
    <xf numFmtId="0" fontId="2" fillId="3" borderId="0" xfId="0" applyFont="1" applyFill="1" applyAlignment="1">
      <alignment horizontal="center" vertical="center" wrapText="1"/>
    </xf>
    <xf numFmtId="0" fontId="2" fillId="0" borderId="0" xfId="0" applyFont="1" applyAlignment="1">
      <alignment horizontal="center"/>
    </xf>
  </cellXfs>
  <cellStyles count="4">
    <cellStyle name="Millares [0]" xfId="3" builtinId="6"/>
    <cellStyle name="Moneda [0]" xfId="1" builtinId="7"/>
    <cellStyle name="Normal" xfId="0" builtinId="0"/>
    <cellStyle name="Porcentaje" xfId="2" builtinId="5"/>
  </cellStyles>
  <dxfs count="0"/>
  <tableStyles count="0" defaultTableStyle="TableStyleMedium2" defaultPivotStyle="PivotStyleLight16"/>
  <colors>
    <mruColors>
      <color rgb="FFFFE900"/>
      <color rgb="FFF9FF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19050</xdr:colOff>
      <xdr:row>10</xdr:row>
      <xdr:rowOff>952500</xdr:rowOff>
    </xdr:from>
    <xdr:to>
      <xdr:col>15</xdr:col>
      <xdr:colOff>971550</xdr:colOff>
      <xdr:row>17</xdr:row>
      <xdr:rowOff>180975</xdr:rowOff>
    </xdr:to>
    <xdr:sp macro="" textlink="">
      <xdr:nvSpPr>
        <xdr:cNvPr id="3" name="CuadroTexto 2"/>
        <xdr:cNvSpPr txBox="1"/>
      </xdr:nvSpPr>
      <xdr:spPr>
        <a:xfrm>
          <a:off x="5953125" y="952500"/>
          <a:ext cx="2257425" cy="876300"/>
        </a:xfrm>
        <a:prstGeom prst="leftArrow">
          <a:avLst>
            <a:gd name="adj1" fmla="val 38406"/>
            <a:gd name="adj2" fmla="val 60204"/>
          </a:avLst>
        </a:prstGeom>
        <a:solidFill>
          <a:srgbClr val="FFE9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050">
              <a:solidFill>
                <a:sysClr val="windowText" lastClr="000000"/>
              </a:solidFill>
              <a:latin typeface="Roboto" panose="02000000000000000000" pitchFamily="2" charset="0"/>
              <a:ea typeface="Roboto" panose="02000000000000000000" pitchFamily="2" charset="0"/>
            </a:rPr>
            <a:t>Ingresa esta</a:t>
          </a:r>
          <a:r>
            <a:rPr lang="es-CO" sz="1050" baseline="0">
              <a:solidFill>
                <a:sysClr val="windowText" lastClr="000000"/>
              </a:solidFill>
              <a:latin typeface="Roboto" panose="02000000000000000000" pitchFamily="2" charset="0"/>
              <a:ea typeface="Roboto" panose="02000000000000000000" pitchFamily="2" charset="0"/>
            </a:rPr>
            <a:t> Información</a:t>
          </a:r>
          <a:endParaRPr lang="es-CO" sz="1050">
            <a:solidFill>
              <a:sysClr val="windowText" lastClr="000000"/>
            </a:solidFill>
            <a:latin typeface="Roboto" panose="02000000000000000000" pitchFamily="2" charset="0"/>
            <a:ea typeface="Roboto" panose="02000000000000000000" pitchFamily="2" charset="0"/>
          </a:endParaRPr>
        </a:p>
      </xdr:txBody>
    </xdr:sp>
    <xdr:clientData/>
  </xdr:twoCellAnchor>
  <xdr:twoCellAnchor editAs="oneCell">
    <xdr:from>
      <xdr:col>3</xdr:col>
      <xdr:colOff>38100</xdr:colOff>
      <xdr:row>10</xdr:row>
      <xdr:rowOff>38100</xdr:rowOff>
    </xdr:from>
    <xdr:to>
      <xdr:col>6</xdr:col>
      <xdr:colOff>1066800</xdr:colOff>
      <xdr:row>10</xdr:row>
      <xdr:rowOff>1134926</xdr:rowOff>
    </xdr:to>
    <xdr:pic>
      <xdr:nvPicPr>
        <xdr:cNvPr id="5" name="Imagen 4"/>
        <xdr:cNvPicPr>
          <a:picLocks noChangeAspect="1"/>
        </xdr:cNvPicPr>
      </xdr:nvPicPr>
      <xdr:blipFill>
        <a:blip xmlns:r="http://schemas.openxmlformats.org/officeDocument/2006/relationships" r:embed="rId1"/>
        <a:stretch>
          <a:fillRect/>
        </a:stretch>
      </xdr:blipFill>
      <xdr:spPr>
        <a:xfrm>
          <a:off x="2505075" y="38100"/>
          <a:ext cx="3381375" cy="10968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1"/>
  <sheetViews>
    <sheetView showGridLines="0" showRowColHeaders="0" tabSelected="1" topLeftCell="C11" zoomScaleNormal="100" workbookViewId="0">
      <selection activeCell="G19" sqref="G19:I19"/>
    </sheetView>
  </sheetViews>
  <sheetFormatPr baseColWidth="10" defaultColWidth="0" defaultRowHeight="15.75" zeroHeight="1"/>
  <cols>
    <col min="1" max="2" width="11.42578125" style="95" hidden="1"/>
    <col min="3" max="3" width="14.28515625" style="95" customWidth="1"/>
    <col min="4" max="4" width="10.85546875" style="91" customWidth="1"/>
    <col min="5" max="5" width="24.42578125" style="91" bestFit="1" customWidth="1"/>
    <col min="6" max="6" width="10.5703125" style="83" hidden="1" customWidth="1"/>
    <col min="7" max="7" width="19.7109375" style="91" bestFit="1" customWidth="1"/>
    <col min="8" max="8" width="13.85546875" style="79" hidden="1" customWidth="1"/>
    <col min="9" max="9" width="19.7109375" style="91" bestFit="1" customWidth="1"/>
    <col min="10" max="10" width="12.5703125" style="79" hidden="1" customWidth="1"/>
    <col min="11" max="11" width="11.28515625" style="79" hidden="1" customWidth="1"/>
    <col min="12" max="12" width="19.5703125" style="91" bestFit="1" customWidth="1"/>
    <col min="13" max="13" width="18.28515625" style="91" hidden="1" customWidth="1"/>
    <col min="14" max="14" width="24" style="91" hidden="1" customWidth="1"/>
    <col min="15" max="15" width="16.140625" style="79" hidden="1" customWidth="1"/>
    <col min="16" max="16" width="19.7109375" style="91" bestFit="1" customWidth="1"/>
    <col min="17" max="17" width="21.5703125" style="79" hidden="1" customWidth="1"/>
    <col min="18" max="18" width="9.140625" style="79" hidden="1" customWidth="1"/>
    <col min="19" max="19" width="20.85546875" style="79" hidden="1" customWidth="1"/>
    <col min="20" max="20" width="27.5703125" style="91" hidden="1" customWidth="1"/>
    <col min="21" max="21" width="35.5703125" style="92" hidden="1" customWidth="1"/>
    <col min="22" max="22" width="1.7109375" style="92" hidden="1" customWidth="1"/>
    <col min="23" max="23" width="26" style="95" hidden="1" customWidth="1"/>
    <col min="24" max="24" width="48" style="95" hidden="1" customWidth="1"/>
    <col min="25" max="16383" width="11.42578125" style="95" hidden="1"/>
    <col min="16384" max="16384" width="1.7109375" style="113" customWidth="1"/>
  </cols>
  <sheetData>
    <row r="1" spans="3:24 16384:16384" s="80" customFormat="1" ht="2.25" hidden="1" customHeight="1">
      <c r="D1" s="79"/>
      <c r="E1" s="79"/>
      <c r="G1" s="79" t="s">
        <v>45</v>
      </c>
      <c r="H1" s="81">
        <f>+DAY(G12)</f>
        <v>2</v>
      </c>
      <c r="J1" s="79"/>
      <c r="K1" s="79"/>
      <c r="L1" s="79"/>
      <c r="M1" s="79"/>
      <c r="N1" s="79"/>
      <c r="O1" s="79"/>
      <c r="P1" s="79"/>
      <c r="Q1" s="79"/>
      <c r="R1" s="79"/>
      <c r="V1" s="82"/>
      <c r="XFD1" s="113"/>
    </row>
    <row r="2" spans="3:24 16384:16384" s="80" customFormat="1" ht="8.25" hidden="1" customHeight="1">
      <c r="D2" s="79"/>
      <c r="E2" s="79"/>
      <c r="G2" s="79" t="s">
        <v>46</v>
      </c>
      <c r="H2" s="81">
        <f>+MONTH(G12)</f>
        <v>2</v>
      </c>
      <c r="J2" s="79"/>
      <c r="K2" s="79"/>
      <c r="L2" s="79"/>
      <c r="M2" s="79"/>
      <c r="N2" s="79"/>
      <c r="O2" s="79"/>
      <c r="P2" s="79"/>
      <c r="Q2" s="79"/>
      <c r="R2" s="79"/>
      <c r="V2" s="82"/>
      <c r="XFD2" s="113"/>
    </row>
    <row r="3" spans="3:24 16384:16384" s="80" customFormat="1" ht="12" hidden="1" customHeight="1">
      <c r="D3" s="79"/>
      <c r="E3" s="79"/>
      <c r="G3" s="79" t="s">
        <v>47</v>
      </c>
      <c r="H3" s="81">
        <f>+YEAR(G12)</f>
        <v>2019</v>
      </c>
      <c r="J3" s="79"/>
      <c r="K3" s="79"/>
      <c r="L3" s="79"/>
      <c r="M3" s="79"/>
      <c r="N3" s="79"/>
      <c r="O3" s="79"/>
      <c r="P3" s="79"/>
      <c r="Q3" s="79"/>
      <c r="R3" s="79"/>
      <c r="V3" s="82"/>
      <c r="XFD3" s="113"/>
    </row>
    <row r="4" spans="3:24 16384:16384" s="80" customFormat="1" ht="10.5" hidden="1" customHeight="1">
      <c r="D4" s="79" t="s">
        <v>48</v>
      </c>
      <c r="E4" s="83"/>
      <c r="F4" s="79"/>
      <c r="G4" s="79"/>
      <c r="H4" s="84">
        <f>+DATE(YEAR(EDATE(G12,1)),MONTH(EDATE(G12,1)),G14)</f>
        <v>43526</v>
      </c>
      <c r="J4" s="79"/>
      <c r="K4" s="79"/>
      <c r="L4" s="79"/>
      <c r="M4" s="79"/>
      <c r="N4" s="79"/>
      <c r="O4" s="79"/>
      <c r="P4" s="79"/>
      <c r="Q4" s="79"/>
      <c r="R4" s="79"/>
      <c r="V4" s="82"/>
      <c r="XFD4" s="113"/>
    </row>
    <row r="5" spans="3:24 16384:16384" s="80" customFormat="1" ht="11.25" hidden="1" customHeight="1">
      <c r="D5" s="79" t="s">
        <v>49</v>
      </c>
      <c r="E5" s="83"/>
      <c r="F5" s="79"/>
      <c r="G5" s="79"/>
      <c r="H5" s="81">
        <f>+DAYS360(G12,H4)</f>
        <v>30</v>
      </c>
      <c r="J5" s="79"/>
      <c r="K5" s="79"/>
      <c r="L5" s="79"/>
      <c r="M5" s="79"/>
      <c r="N5" s="79"/>
      <c r="O5" s="79"/>
      <c r="P5" s="79"/>
      <c r="Q5" s="79"/>
      <c r="R5" s="79"/>
      <c r="V5" s="82"/>
      <c r="XFD5" s="113"/>
    </row>
    <row r="6" spans="3:24 16384:16384" s="80" customFormat="1" ht="9.75" hidden="1" customHeight="1">
      <c r="D6" s="79" t="s">
        <v>50</v>
      </c>
      <c r="E6" s="79" t="s">
        <v>44</v>
      </c>
      <c r="G6" s="79"/>
      <c r="H6" s="84">
        <f>+IF(H5&lt;30,EDATE(H4,1),H4)</f>
        <v>43526</v>
      </c>
      <c r="J6" s="79"/>
      <c r="K6" s="79"/>
      <c r="L6" s="79"/>
      <c r="M6" s="79"/>
      <c r="N6" s="79"/>
      <c r="O6" s="79"/>
      <c r="P6" s="79"/>
      <c r="Q6" s="79"/>
      <c r="R6" s="79"/>
      <c r="V6" s="82"/>
      <c r="XFD6" s="113"/>
    </row>
    <row r="7" spans="3:24 16384:16384" s="80" customFormat="1" ht="0.75" hidden="1" customHeight="1">
      <c r="D7" s="79"/>
      <c r="E7" s="79"/>
      <c r="F7" s="83"/>
      <c r="G7" s="79"/>
      <c r="H7" s="79"/>
      <c r="I7" s="79"/>
      <c r="J7" s="79"/>
      <c r="K7" s="79"/>
      <c r="L7" s="79"/>
      <c r="M7" s="79"/>
      <c r="N7" s="79"/>
      <c r="O7" s="79"/>
      <c r="P7" s="79"/>
      <c r="Q7" s="79"/>
      <c r="R7" s="79"/>
      <c r="S7" s="79"/>
      <c r="T7" s="79"/>
      <c r="U7" s="84"/>
      <c r="V7" s="82"/>
      <c r="XFD7" s="113"/>
    </row>
    <row r="8" spans="3:24 16384:16384" s="80" customFormat="1" ht="17.25" hidden="1" customHeight="1">
      <c r="D8" s="79"/>
      <c r="E8" s="79"/>
      <c r="F8" s="83"/>
      <c r="G8" s="79"/>
      <c r="H8" s="79"/>
      <c r="I8" s="79"/>
      <c r="J8" s="79"/>
      <c r="K8" s="79"/>
      <c r="L8" s="79"/>
      <c r="M8" s="79"/>
      <c r="N8" s="79"/>
      <c r="O8" s="79"/>
      <c r="P8" s="79"/>
      <c r="Q8" s="79"/>
      <c r="R8" s="79"/>
      <c r="S8" s="79"/>
      <c r="T8" s="79"/>
      <c r="U8" s="84"/>
      <c r="V8" s="82"/>
      <c r="XFD8" s="113"/>
    </row>
    <row r="9" spans="3:24 16384:16384" s="80" customFormat="1" ht="17.25" hidden="1" customHeight="1">
      <c r="D9" s="79"/>
      <c r="E9" s="79"/>
      <c r="F9" s="83"/>
      <c r="G9" s="79"/>
      <c r="H9" s="79"/>
      <c r="I9" s="79"/>
      <c r="J9" s="79"/>
      <c r="K9" s="79"/>
      <c r="L9" s="79"/>
      <c r="M9" s="79"/>
      <c r="N9" s="79"/>
      <c r="O9" s="79"/>
      <c r="P9" s="79"/>
      <c r="Q9" s="79"/>
      <c r="R9" s="79"/>
      <c r="S9" s="79"/>
      <c r="T9" s="79"/>
      <c r="U9" s="84"/>
      <c r="V9" s="82"/>
      <c r="XFD9" s="113"/>
    </row>
    <row r="10" spans="3:24 16384:16384" s="80" customFormat="1" ht="17.25" hidden="1" customHeight="1">
      <c r="D10" s="79"/>
      <c r="E10" s="79"/>
      <c r="F10" s="83"/>
      <c r="G10" s="79"/>
      <c r="H10" s="79"/>
      <c r="I10" s="79"/>
      <c r="J10" s="79"/>
      <c r="K10" s="79"/>
      <c r="L10" s="79"/>
      <c r="M10" s="79"/>
      <c r="N10" s="79"/>
      <c r="O10" s="79"/>
      <c r="P10" s="79"/>
      <c r="Q10" s="79"/>
      <c r="R10" s="79"/>
      <c r="S10" s="79"/>
      <c r="T10" s="79"/>
      <c r="U10" s="84"/>
      <c r="V10" s="82"/>
      <c r="XFD10" s="113"/>
    </row>
    <row r="11" spans="3:24 16384:16384" s="80" customFormat="1" ht="91.5" customHeight="1" thickBot="1">
      <c r="C11" s="85"/>
      <c r="D11" s="85"/>
      <c r="E11" s="85"/>
      <c r="F11" s="86"/>
      <c r="G11" s="85"/>
      <c r="H11" s="85"/>
      <c r="I11" s="85"/>
      <c r="J11" s="85"/>
      <c r="K11" s="85"/>
      <c r="L11" s="85"/>
      <c r="M11" s="85"/>
      <c r="N11" s="85"/>
      <c r="O11" s="85"/>
      <c r="P11" s="85"/>
      <c r="Q11" s="79"/>
      <c r="R11" s="79"/>
      <c r="S11" s="79"/>
      <c r="T11" s="79"/>
      <c r="U11" s="84"/>
      <c r="V11" s="82"/>
      <c r="XFD11" s="113"/>
    </row>
    <row r="12" spans="3:24 16384:16384" ht="18.75" hidden="1" thickBot="1">
      <c r="D12" s="155" t="s">
        <v>61</v>
      </c>
      <c r="E12" s="156"/>
      <c r="F12" s="87"/>
      <c r="G12" s="164">
        <v>43498</v>
      </c>
      <c r="H12" s="165"/>
      <c r="I12" s="166"/>
      <c r="J12" s="88"/>
      <c r="K12" s="88"/>
      <c r="L12" s="89"/>
      <c r="M12" s="89"/>
      <c r="N12" s="89"/>
      <c r="O12" s="88"/>
      <c r="P12" s="89" t="s">
        <v>38</v>
      </c>
      <c r="Q12" s="88"/>
      <c r="R12" s="88"/>
      <c r="S12" s="90" t="e">
        <f>Q28/#REF!</f>
        <v>#REF!</v>
      </c>
      <c r="V12" s="93"/>
      <c r="W12" s="94"/>
      <c r="X12" s="94"/>
    </row>
    <row r="13" spans="3:24 16384:16384" ht="18.75" thickBot="1">
      <c r="D13" s="157" t="s">
        <v>63</v>
      </c>
      <c r="E13" s="158"/>
      <c r="F13" s="87"/>
      <c r="G13" s="161">
        <v>1600000</v>
      </c>
      <c r="H13" s="162"/>
      <c r="I13" s="163"/>
      <c r="J13" s="88"/>
      <c r="K13" s="88"/>
      <c r="L13" s="89"/>
      <c r="M13" s="89"/>
      <c r="N13" s="89"/>
      <c r="O13" s="88"/>
      <c r="P13" s="89"/>
      <c r="Q13" s="88"/>
      <c r="R13" s="88"/>
      <c r="S13" s="90" t="e">
        <f>S12*48</f>
        <v>#REF!</v>
      </c>
      <c r="V13" s="97"/>
      <c r="W13" s="94" t="s">
        <v>24</v>
      </c>
      <c r="X13" s="94" t="s">
        <v>30</v>
      </c>
    </row>
    <row r="14" spans="3:24 16384:16384" ht="19.5" hidden="1" thickTop="1" thickBot="1">
      <c r="D14" s="159" t="s">
        <v>62</v>
      </c>
      <c r="E14" s="160"/>
      <c r="F14" s="96"/>
      <c r="G14" s="167">
        <v>2</v>
      </c>
      <c r="H14" s="168"/>
      <c r="I14" s="169"/>
      <c r="J14" s="88"/>
      <c r="K14" s="88"/>
      <c r="L14" s="89"/>
      <c r="M14" s="89"/>
      <c r="N14" s="89"/>
      <c r="O14" s="88"/>
      <c r="P14" s="89"/>
      <c r="Q14" s="88"/>
      <c r="R14" s="88"/>
      <c r="S14" s="90" t="e">
        <f>S13*10</f>
        <v>#REF!</v>
      </c>
      <c r="V14" s="97"/>
      <c r="W14" s="94"/>
      <c r="X14" s="94"/>
    </row>
    <row r="15" spans="3:24 16384:16384" ht="19.5" thickTop="1" thickBot="1">
      <c r="D15" s="183" t="s">
        <v>8</v>
      </c>
      <c r="E15" s="184"/>
      <c r="F15" s="96"/>
      <c r="G15" s="188">
        <v>36</v>
      </c>
      <c r="H15" s="189"/>
      <c r="I15" s="190"/>
      <c r="J15" s="98">
        <f>NOMINAL(G19,12)</f>
        <v>0.2522400161498366</v>
      </c>
      <c r="K15" s="88"/>
      <c r="L15" s="89"/>
      <c r="M15" s="89"/>
      <c r="N15" s="89"/>
      <c r="O15" s="88"/>
      <c r="P15" s="89"/>
      <c r="Q15" s="88"/>
      <c r="R15" s="88"/>
      <c r="S15" s="88"/>
      <c r="V15" s="99"/>
      <c r="W15" s="94" t="s">
        <v>24</v>
      </c>
      <c r="X15" s="94" t="s">
        <v>31</v>
      </c>
    </row>
    <row r="16" spans="3:24 16384:16384" ht="19.5" hidden="1" thickTop="1" thickBot="1">
      <c r="D16" s="179" t="s">
        <v>69</v>
      </c>
      <c r="E16" s="180"/>
      <c r="F16" s="105"/>
      <c r="G16" s="203">
        <v>3143</v>
      </c>
      <c r="H16" s="204"/>
      <c r="I16" s="205"/>
      <c r="J16" s="88"/>
      <c r="K16" s="88"/>
      <c r="L16" s="89"/>
      <c r="M16" s="89"/>
      <c r="N16" s="89"/>
      <c r="O16" s="88"/>
      <c r="P16" s="89"/>
      <c r="Q16" s="88"/>
      <c r="R16" s="88"/>
      <c r="S16" s="88"/>
      <c r="V16" s="97"/>
      <c r="W16" s="94" t="s">
        <v>36</v>
      </c>
      <c r="X16" s="94" t="s">
        <v>37</v>
      </c>
    </row>
    <row r="17" spans="3:24 16384:16384" s="80" customFormat="1" ht="21.75" hidden="1" customHeight="1">
      <c r="D17" s="100"/>
      <c r="E17" s="101"/>
      <c r="F17" s="102"/>
      <c r="G17" s="140"/>
      <c r="H17" s="141">
        <v>1000000</v>
      </c>
      <c r="I17" s="142"/>
      <c r="J17" s="103"/>
      <c r="K17" s="103"/>
      <c r="L17" s="103"/>
      <c r="M17" s="103"/>
      <c r="N17" s="103"/>
      <c r="O17" s="103"/>
      <c r="P17" s="103"/>
      <c r="Q17" s="103"/>
      <c r="R17" s="103"/>
      <c r="S17" s="103"/>
      <c r="V17" s="104"/>
      <c r="XFD17" s="113"/>
    </row>
    <row r="18" spans="3:24 16384:16384" s="80" customFormat="1" ht="21.75" customHeight="1" thickBot="1">
      <c r="C18" s="95"/>
      <c r="D18" s="85"/>
      <c r="E18" s="85"/>
      <c r="F18" s="85"/>
      <c r="G18" s="85"/>
      <c r="H18" s="85"/>
      <c r="I18" s="85"/>
      <c r="J18" s="85"/>
      <c r="K18" s="85"/>
      <c r="L18" s="85"/>
      <c r="M18" s="85"/>
      <c r="N18" s="85"/>
      <c r="O18" s="85"/>
      <c r="P18" s="85"/>
      <c r="Q18" s="103"/>
      <c r="R18" s="103"/>
      <c r="S18" s="103"/>
      <c r="V18" s="104"/>
      <c r="XFD18" s="113"/>
    </row>
    <row r="19" spans="3:24 16384:16384" ht="18.75" thickBot="1">
      <c r="D19" s="181" t="s">
        <v>70</v>
      </c>
      <c r="E19" s="182"/>
      <c r="F19" s="108"/>
      <c r="G19" s="185">
        <v>0.28354469999999998</v>
      </c>
      <c r="H19" s="186"/>
      <c r="I19" s="187"/>
      <c r="J19" s="106">
        <f>+J15/12</f>
        <v>2.1020001345819717E-2</v>
      </c>
      <c r="K19" s="88"/>
      <c r="L19" s="89"/>
      <c r="M19" s="89"/>
      <c r="N19" s="89"/>
      <c r="O19" s="88"/>
      <c r="P19" s="89"/>
      <c r="Q19" s="88"/>
      <c r="R19" s="88"/>
      <c r="S19" s="88">
        <f>G15-1</f>
        <v>35</v>
      </c>
      <c r="V19" s="107"/>
      <c r="W19" s="94" t="s">
        <v>34</v>
      </c>
      <c r="X19" s="94" t="s">
        <v>35</v>
      </c>
    </row>
    <row r="20" spans="3:24 16384:16384" s="80" customFormat="1" ht="12" hidden="1" customHeight="1" thickBot="1">
      <c r="D20" s="146"/>
      <c r="E20" s="147"/>
      <c r="F20" s="143"/>
      <c r="G20" s="143"/>
      <c r="H20" s="143"/>
      <c r="I20" s="144"/>
      <c r="J20" s="89"/>
      <c r="K20" s="89"/>
      <c r="L20" s="89"/>
      <c r="M20" s="89"/>
      <c r="N20" s="89"/>
      <c r="O20" s="89"/>
      <c r="P20" s="89"/>
      <c r="Q20" s="103"/>
      <c r="R20" s="103"/>
      <c r="S20" s="103"/>
      <c r="V20" s="104"/>
      <c r="XFD20" s="113"/>
    </row>
    <row r="21" spans="3:24 16384:16384" s="80" customFormat="1" ht="21.75" hidden="1" customHeight="1">
      <c r="D21" s="148" t="s">
        <v>67</v>
      </c>
      <c r="E21" s="149"/>
      <c r="F21" s="70"/>
      <c r="G21" s="195">
        <f>+NOMINAL(G19,12)</f>
        <v>0.2522400161498366</v>
      </c>
      <c r="H21" s="196"/>
      <c r="I21" s="197"/>
      <c r="J21" s="89"/>
      <c r="K21" s="89"/>
      <c r="L21" s="89"/>
      <c r="M21" s="89"/>
      <c r="N21" s="89"/>
      <c r="O21" s="89"/>
      <c r="P21" s="89"/>
      <c r="Q21" s="103"/>
      <c r="R21" s="103"/>
      <c r="S21" s="103"/>
      <c r="V21" s="104"/>
      <c r="XFD21" s="113"/>
    </row>
    <row r="22" spans="3:24 16384:16384" s="80" customFormat="1" ht="21.75" hidden="1" customHeight="1" thickBot="1">
      <c r="D22" s="183" t="s">
        <v>68</v>
      </c>
      <c r="E22" s="184"/>
      <c r="F22" s="71"/>
      <c r="G22" s="198">
        <f>+G21/12</f>
        <v>2.1020001345819717E-2</v>
      </c>
      <c r="H22" s="199"/>
      <c r="I22" s="200"/>
      <c r="J22" s="89"/>
      <c r="K22" s="89"/>
      <c r="L22" s="89"/>
      <c r="M22" s="89"/>
      <c r="N22" s="89"/>
      <c r="O22" s="89"/>
      <c r="P22" s="89"/>
      <c r="Q22" s="103"/>
      <c r="R22" s="103"/>
      <c r="S22" s="103"/>
      <c r="V22" s="104"/>
      <c r="XFD22" s="113"/>
    </row>
    <row r="23" spans="3:24 16384:16384" s="80" customFormat="1" ht="21.75" hidden="1" customHeight="1" thickBot="1">
      <c r="D23" s="146"/>
      <c r="E23" s="147"/>
      <c r="F23" s="143"/>
      <c r="G23" s="143"/>
      <c r="H23" s="143"/>
      <c r="I23" s="144"/>
      <c r="J23" s="89"/>
      <c r="K23" s="89"/>
      <c r="L23" s="89"/>
      <c r="M23" s="89"/>
      <c r="N23" s="89"/>
      <c r="O23" s="89"/>
      <c r="P23" s="89"/>
      <c r="Q23" s="103"/>
      <c r="R23" s="103"/>
      <c r="S23" s="103"/>
      <c r="V23" s="104"/>
      <c r="XFD23" s="113"/>
    </row>
    <row r="24" spans="3:24 16384:16384" s="113" customFormat="1" ht="21" thickBot="1">
      <c r="D24" s="201" t="s">
        <v>66</v>
      </c>
      <c r="E24" s="202"/>
      <c r="F24" s="108"/>
      <c r="G24" s="191">
        <f>O29</f>
        <v>67557.0634219481</v>
      </c>
      <c r="H24" s="192"/>
      <c r="I24" s="193"/>
      <c r="J24" s="109"/>
      <c r="K24" s="109"/>
      <c r="L24" s="109"/>
      <c r="M24" s="109"/>
      <c r="N24" s="109"/>
      <c r="O24" s="109"/>
      <c r="P24" s="109"/>
      <c r="Q24" s="109"/>
      <c r="R24" s="109"/>
      <c r="S24" s="109"/>
      <c r="T24" s="110"/>
      <c r="U24" s="111"/>
      <c r="V24" s="112"/>
    </row>
    <row r="25" spans="3:24 16384:16384" ht="18" customHeight="1" thickBot="1">
      <c r="C25" s="145"/>
      <c r="D25" s="194"/>
      <c r="E25" s="194"/>
      <c r="F25" s="194"/>
      <c r="G25" s="194"/>
      <c r="H25" s="194"/>
      <c r="I25" s="194"/>
      <c r="J25" s="194"/>
      <c r="K25" s="194"/>
      <c r="L25" s="194"/>
      <c r="M25" s="194"/>
      <c r="N25" s="194"/>
      <c r="O25" s="194"/>
      <c r="P25" s="194"/>
      <c r="Q25" s="103"/>
      <c r="R25" s="103"/>
      <c r="S25" s="103"/>
      <c r="T25" s="95"/>
      <c r="U25" s="95"/>
      <c r="V25" s="114"/>
      <c r="W25" s="94"/>
      <c r="X25" s="94"/>
    </row>
    <row r="26" spans="3:24 16384:16384" ht="16.5" hidden="1" thickBot="1">
      <c r="D26" s="115"/>
      <c r="E26" s="115"/>
      <c r="F26" s="116"/>
      <c r="G26" s="115"/>
      <c r="H26" s="103"/>
      <c r="J26" s="103"/>
      <c r="K26" s="103"/>
      <c r="L26" s="115"/>
      <c r="M26" s="115"/>
      <c r="N26" s="115"/>
      <c r="O26" s="103"/>
      <c r="P26" s="115"/>
      <c r="Q26" s="103"/>
      <c r="R26" s="103"/>
      <c r="S26" s="103"/>
      <c r="T26" s="117"/>
      <c r="U26" s="118"/>
      <c r="V26" s="97"/>
      <c r="W26" s="94" t="s">
        <v>38</v>
      </c>
      <c r="X26" s="94" t="s">
        <v>38</v>
      </c>
    </row>
    <row r="27" spans="3:24 16384:16384" ht="35.25" customHeight="1">
      <c r="D27" s="150" t="s">
        <v>13</v>
      </c>
      <c r="E27" s="151" t="s">
        <v>14</v>
      </c>
      <c r="F27" s="152" t="s">
        <v>64</v>
      </c>
      <c r="G27" s="151" t="s">
        <v>15</v>
      </c>
      <c r="H27" s="151" t="s">
        <v>57</v>
      </c>
      <c r="I27" s="151" t="s">
        <v>16</v>
      </c>
      <c r="J27" s="151" t="s">
        <v>65</v>
      </c>
      <c r="K27" s="151" t="s">
        <v>58</v>
      </c>
      <c r="L27" s="151" t="s">
        <v>17</v>
      </c>
      <c r="M27" s="153" t="s">
        <v>12</v>
      </c>
      <c r="N27" s="153" t="s">
        <v>9</v>
      </c>
      <c r="O27" s="151" t="s">
        <v>66</v>
      </c>
      <c r="P27" s="154" t="s">
        <v>66</v>
      </c>
      <c r="Q27" s="119" t="s">
        <v>19</v>
      </c>
      <c r="R27" s="119" t="s">
        <v>60</v>
      </c>
      <c r="S27" s="120" t="s">
        <v>59</v>
      </c>
      <c r="T27" s="121"/>
      <c r="U27" s="122"/>
      <c r="V27" s="93"/>
      <c r="W27" s="94"/>
      <c r="X27" s="94"/>
    </row>
    <row r="28" spans="3:24 16384:16384">
      <c r="D28" s="72">
        <v>1</v>
      </c>
      <c r="E28" s="65">
        <f>+H6</f>
        <v>43526</v>
      </c>
      <c r="F28" s="66">
        <f>+DAYS360(G12,H6)</f>
        <v>30</v>
      </c>
      <c r="G28" s="67">
        <f>IF(D28&gt;$G$15,Q28,IF(F28&gt;30,H28,O28-(I28+L28)))</f>
        <v>28896.061268636557</v>
      </c>
      <c r="H28" s="67">
        <f>+O28-(J28+L28)</f>
        <v>28896.061268636557</v>
      </c>
      <c r="I28" s="67">
        <f>IF(D28&gt;$G$15,"",G13*$J$15*F28/360)</f>
        <v>33632.002153311543</v>
      </c>
      <c r="J28" s="67">
        <f>IF(D28&gt;$G$15,"",G13*$J$15*30/360)</f>
        <v>33632.002153311543</v>
      </c>
      <c r="K28" s="67">
        <f>IF(D28&gt;$G$15,"",G13*$J$15*(F28-30)/360)</f>
        <v>0</v>
      </c>
      <c r="L28" s="67">
        <f>IF(D28&gt;$G$15,"",ROUNDUP($G$13*$G$16/$H$17,0))</f>
        <v>5029</v>
      </c>
      <c r="M28" s="67">
        <f>IF(D28&gt;$G$15,"",ROUNDUP($G$13*$G$16/$H$17,0))</f>
        <v>5029</v>
      </c>
      <c r="N28" s="67">
        <v>0</v>
      </c>
      <c r="O28" s="67">
        <f>IF(D28&gt;$G$15,"",PMT($J$19,$G$15,-$G$13)+S28)</f>
        <v>67557.0634219481</v>
      </c>
      <c r="P28" s="73">
        <f t="shared" ref="P28:P59" si="0">IF(D28&gt;$G$15,"",IF(F28&gt;30,G28+I28+L28,G28+L28+I28))</f>
        <v>67557.0634219481</v>
      </c>
      <c r="Q28" s="123">
        <f>+G13</f>
        <v>1600000</v>
      </c>
      <c r="R28" s="123">
        <f>+G13</f>
        <v>1600000</v>
      </c>
      <c r="S28" s="123">
        <f>(M28*G15)*(74.6%)/G15</f>
        <v>3751.634</v>
      </c>
      <c r="T28" s="124"/>
      <c r="U28" s="125"/>
      <c r="V28" s="126"/>
      <c r="W28" s="94" t="s">
        <v>40</v>
      </c>
      <c r="X28" s="127" t="s">
        <v>39</v>
      </c>
    </row>
    <row r="29" spans="3:24 16384:16384">
      <c r="D29" s="72">
        <v>2</v>
      </c>
      <c r="E29" s="65">
        <f t="shared" ref="E29:E60" si="1">+IF(D29&gt;$G$15,"",EDATE(E28,1))</f>
        <v>43557</v>
      </c>
      <c r="F29" s="66">
        <v>30</v>
      </c>
      <c r="G29" s="67">
        <f t="shared" ref="G29:G60" si="2">IF(D29=$G$15,Q29,IF(F29&gt;30,H29,O29-(I29+L29)))</f>
        <v>29594.456515392179</v>
      </c>
      <c r="H29" s="67"/>
      <c r="I29" s="67">
        <f t="shared" ref="I29:I60" si="3">IF(D29&gt;$G$15,"",IF(G28&lt;=0,(Q29*$J$15*F29/360)-G28,Q29*$J$15*F29/360))</f>
        <v>33024.60690655592</v>
      </c>
      <c r="J29" s="67"/>
      <c r="K29" s="67"/>
      <c r="L29" s="67">
        <f t="shared" ref="L29:L60" si="4">IF(D29&gt;$G$15,"",ROUNDUP(Q29*$G$16/$H$17,0))</f>
        <v>4938</v>
      </c>
      <c r="M29" s="67" t="e">
        <f t="shared" ref="M29:M60" si="5">IF(D29&gt;$G$15,"",ROUNDUP(R29*$G$16/$H$17,0))</f>
        <v>#REF!</v>
      </c>
      <c r="N29" s="67">
        <v>0</v>
      </c>
      <c r="O29" s="67">
        <f>IF(D29&gt;$G$15,"",PMT($J$19,$G$15,-$G$13)+S28)</f>
        <v>67557.0634219481</v>
      </c>
      <c r="P29" s="73">
        <f t="shared" si="0"/>
        <v>67557.0634219481</v>
      </c>
      <c r="Q29" s="128">
        <f t="shared" ref="Q29:Q60" si="6">IF(D29&gt;$G$15,"",IF(G28&gt;0,Q28-G28,Q28))</f>
        <v>1571103.9387313635</v>
      </c>
      <c r="R29" s="128" t="e">
        <f>IF(D29&gt;$G$15,"",IF(G28&gt;0,R28-#REF!,R28))</f>
        <v>#REF!</v>
      </c>
      <c r="T29" s="129"/>
      <c r="V29" s="126"/>
      <c r="W29" s="94" t="s">
        <v>40</v>
      </c>
      <c r="X29" s="127" t="s">
        <v>39</v>
      </c>
    </row>
    <row r="30" spans="3:24 16384:16384">
      <c r="D30" s="72">
        <v>3</v>
      </c>
      <c r="E30" s="65">
        <f t="shared" si="1"/>
        <v>43587</v>
      </c>
      <c r="F30" s="66">
        <f t="shared" ref="F30:F61" si="7">+IF(D30&gt;$G$15,"",30)</f>
        <v>30</v>
      </c>
      <c r="G30" s="67">
        <f t="shared" si="2"/>
        <v>30309.532031174531</v>
      </c>
      <c r="H30" s="67"/>
      <c r="I30" s="67">
        <f t="shared" si="3"/>
        <v>32402.531390773565</v>
      </c>
      <c r="J30" s="67"/>
      <c r="K30" s="67"/>
      <c r="L30" s="67">
        <f t="shared" si="4"/>
        <v>4845</v>
      </c>
      <c r="M30" s="67" t="e">
        <f t="shared" si="5"/>
        <v>#REF!</v>
      </c>
      <c r="N30" s="67">
        <v>0</v>
      </c>
      <c r="O30" s="67">
        <f t="shared" ref="O30:O61" si="8">IF(D30&gt;$G$15,"",PMT($J$19,$G$15,-$G$13)+S$28)</f>
        <v>67557.0634219481</v>
      </c>
      <c r="P30" s="73">
        <f t="shared" si="0"/>
        <v>67557.0634219481</v>
      </c>
      <c r="Q30" s="128">
        <f t="shared" si="6"/>
        <v>1541509.4822159712</v>
      </c>
      <c r="R30" s="128" t="e">
        <f>IF(D30&gt;$G$15,"",IF(G29&gt;0,R29-#REF!,R29))</f>
        <v>#REF!</v>
      </c>
      <c r="S30" s="90"/>
      <c r="T30" s="121"/>
      <c r="V30" s="126"/>
      <c r="W30" s="94" t="s">
        <v>40</v>
      </c>
      <c r="X30" s="127" t="s">
        <v>39</v>
      </c>
    </row>
    <row r="31" spans="3:24 16384:16384">
      <c r="D31" s="72">
        <v>4</v>
      </c>
      <c r="E31" s="65">
        <f t="shared" si="1"/>
        <v>43618</v>
      </c>
      <c r="F31" s="66">
        <f t="shared" si="7"/>
        <v>30</v>
      </c>
      <c r="G31" s="67">
        <f t="shared" si="2"/>
        <v>31041.638435260982</v>
      </c>
      <c r="H31" s="67"/>
      <c r="I31" s="67">
        <f t="shared" si="3"/>
        <v>31765.424986687118</v>
      </c>
      <c r="J31" s="67"/>
      <c r="K31" s="67"/>
      <c r="L31" s="67">
        <f t="shared" si="4"/>
        <v>4750</v>
      </c>
      <c r="M31" s="67" t="e">
        <f t="shared" si="5"/>
        <v>#REF!</v>
      </c>
      <c r="N31" s="67">
        <v>0</v>
      </c>
      <c r="O31" s="67">
        <f t="shared" si="8"/>
        <v>67557.0634219481</v>
      </c>
      <c r="P31" s="73">
        <f t="shared" si="0"/>
        <v>67557.0634219481</v>
      </c>
      <c r="Q31" s="128">
        <f t="shared" si="6"/>
        <v>1511199.9501847967</v>
      </c>
      <c r="R31" s="128" t="e">
        <f>IF(D31&gt;$G$15,"",IF(G30&gt;0,R30-#REF!,R30))</f>
        <v>#REF!</v>
      </c>
      <c r="S31" s="90"/>
      <c r="T31" s="89"/>
      <c r="V31" s="126"/>
      <c r="W31" s="94" t="s">
        <v>40</v>
      </c>
      <c r="X31" s="127" t="s">
        <v>39</v>
      </c>
    </row>
    <row r="32" spans="3:24 16384:16384">
      <c r="D32" s="72">
        <v>5</v>
      </c>
      <c r="E32" s="65">
        <f t="shared" si="1"/>
        <v>43648</v>
      </c>
      <c r="F32" s="66">
        <f t="shared" si="7"/>
        <v>30</v>
      </c>
      <c r="G32" s="67">
        <f t="shared" si="2"/>
        <v>31791.133716946628</v>
      </c>
      <c r="H32" s="67"/>
      <c r="I32" s="67">
        <f t="shared" si="3"/>
        <v>31112.929705001476</v>
      </c>
      <c r="J32" s="67"/>
      <c r="K32" s="67"/>
      <c r="L32" s="67">
        <f t="shared" si="4"/>
        <v>4653</v>
      </c>
      <c r="M32" s="67" t="e">
        <f t="shared" si="5"/>
        <v>#REF!</v>
      </c>
      <c r="N32" s="67">
        <v>0</v>
      </c>
      <c r="O32" s="67">
        <f t="shared" si="8"/>
        <v>67557.0634219481</v>
      </c>
      <c r="P32" s="73">
        <f t="shared" si="0"/>
        <v>67557.0634219481</v>
      </c>
      <c r="Q32" s="128">
        <f t="shared" si="6"/>
        <v>1480158.3117495356</v>
      </c>
      <c r="R32" s="128" t="e">
        <f>IF(D32&gt;$G$15,"",IF(G31&gt;0,R31-#REF!,R31))</f>
        <v>#REF!</v>
      </c>
      <c r="S32" s="90"/>
      <c r="T32" s="89"/>
      <c r="V32" s="126"/>
      <c r="W32" s="94" t="s">
        <v>40</v>
      </c>
      <c r="X32" s="127" t="s">
        <v>39</v>
      </c>
    </row>
    <row r="33" spans="4:24">
      <c r="D33" s="72">
        <v>6</v>
      </c>
      <c r="E33" s="65">
        <f t="shared" si="1"/>
        <v>43679</v>
      </c>
      <c r="F33" s="66">
        <f t="shared" si="7"/>
        <v>30</v>
      </c>
      <c r="G33" s="67">
        <f t="shared" si="2"/>
        <v>32559.383390461975</v>
      </c>
      <c r="H33" s="67"/>
      <c r="I33" s="67">
        <f t="shared" si="3"/>
        <v>30444.680031486125</v>
      </c>
      <c r="J33" s="67"/>
      <c r="K33" s="67"/>
      <c r="L33" s="67">
        <f t="shared" si="4"/>
        <v>4553</v>
      </c>
      <c r="M33" s="67" t="e">
        <f t="shared" si="5"/>
        <v>#REF!</v>
      </c>
      <c r="N33" s="67">
        <v>0</v>
      </c>
      <c r="O33" s="67">
        <f t="shared" si="8"/>
        <v>67557.0634219481</v>
      </c>
      <c r="P33" s="73">
        <f t="shared" si="0"/>
        <v>67557.0634219481</v>
      </c>
      <c r="Q33" s="128">
        <f t="shared" si="6"/>
        <v>1448367.1780325889</v>
      </c>
      <c r="R33" s="128" t="e">
        <f>IF(D33&gt;$G$15,"",IF(G32&gt;0,R32-#REF!,R32))</f>
        <v>#REF!</v>
      </c>
      <c r="S33" s="90"/>
      <c r="T33" s="89"/>
      <c r="V33" s="126"/>
      <c r="W33" s="94" t="s">
        <v>40</v>
      </c>
      <c r="X33" s="127" t="s">
        <v>39</v>
      </c>
    </row>
    <row r="34" spans="4:24">
      <c r="D34" s="72">
        <v>7</v>
      </c>
      <c r="E34" s="65">
        <f t="shared" si="1"/>
        <v>43710</v>
      </c>
      <c r="F34" s="66">
        <f t="shared" si="7"/>
        <v>30</v>
      </c>
      <c r="G34" s="67">
        <f t="shared" si="2"/>
        <v>33346.781673148544</v>
      </c>
      <c r="H34" s="67"/>
      <c r="I34" s="67">
        <f t="shared" si="3"/>
        <v>29760.281748799556</v>
      </c>
      <c r="J34" s="67"/>
      <c r="K34" s="67"/>
      <c r="L34" s="67">
        <f t="shared" si="4"/>
        <v>4450</v>
      </c>
      <c r="M34" s="67" t="e">
        <f t="shared" si="5"/>
        <v>#REF!</v>
      </c>
      <c r="N34" s="67">
        <v>0</v>
      </c>
      <c r="O34" s="67">
        <f t="shared" si="8"/>
        <v>67557.0634219481</v>
      </c>
      <c r="P34" s="73">
        <f t="shared" si="0"/>
        <v>67557.0634219481</v>
      </c>
      <c r="Q34" s="128">
        <f t="shared" si="6"/>
        <v>1415807.7946421269</v>
      </c>
      <c r="R34" s="128" t="e">
        <f>IF(D34&gt;$G$15,"",IF(G33&gt;0,R33-#REF!,R33))</f>
        <v>#REF!</v>
      </c>
      <c r="S34" s="90"/>
      <c r="T34" s="130"/>
      <c r="V34" s="126"/>
      <c r="W34" s="94" t="s">
        <v>40</v>
      </c>
      <c r="X34" s="127" t="s">
        <v>39</v>
      </c>
    </row>
    <row r="35" spans="4:24">
      <c r="D35" s="72">
        <v>8</v>
      </c>
      <c r="E35" s="65">
        <f t="shared" si="1"/>
        <v>43740</v>
      </c>
      <c r="F35" s="66">
        <f t="shared" si="7"/>
        <v>30</v>
      </c>
      <c r="G35" s="67">
        <f t="shared" si="2"/>
        <v>34151.731068796886</v>
      </c>
      <c r="H35" s="67"/>
      <c r="I35" s="67">
        <f t="shared" si="3"/>
        <v>29059.332353151211</v>
      </c>
      <c r="J35" s="67"/>
      <c r="K35" s="67"/>
      <c r="L35" s="67">
        <f t="shared" si="4"/>
        <v>4346</v>
      </c>
      <c r="M35" s="67" t="e">
        <f t="shared" si="5"/>
        <v>#REF!</v>
      </c>
      <c r="N35" s="67">
        <v>0</v>
      </c>
      <c r="O35" s="67">
        <f t="shared" si="8"/>
        <v>67557.0634219481</v>
      </c>
      <c r="P35" s="73">
        <f t="shared" si="0"/>
        <v>67557.0634219481</v>
      </c>
      <c r="Q35" s="128">
        <f t="shared" si="6"/>
        <v>1382461.0129689784</v>
      </c>
      <c r="R35" s="128" t="e">
        <f>IF(D35&gt;$G$15,"",IF(G34&gt;0,R34-#REF!,R34))</f>
        <v>#REF!</v>
      </c>
      <c r="S35" s="90"/>
      <c r="T35" s="89"/>
      <c r="V35" s="126"/>
      <c r="W35" s="94" t="s">
        <v>40</v>
      </c>
      <c r="X35" s="127" t="s">
        <v>39</v>
      </c>
    </row>
    <row r="36" spans="4:24">
      <c r="D36" s="72">
        <v>9</v>
      </c>
      <c r="E36" s="65">
        <f t="shared" si="1"/>
        <v>43771</v>
      </c>
      <c r="F36" s="66">
        <f t="shared" si="7"/>
        <v>30</v>
      </c>
      <c r="G36" s="67">
        <f t="shared" si="2"/>
        <v>34977.600501825073</v>
      </c>
      <c r="H36" s="67"/>
      <c r="I36" s="67">
        <f t="shared" si="3"/>
        <v>28341.462920123027</v>
      </c>
      <c r="J36" s="67"/>
      <c r="K36" s="67"/>
      <c r="L36" s="67">
        <f t="shared" si="4"/>
        <v>4238</v>
      </c>
      <c r="M36" s="67" t="e">
        <f t="shared" si="5"/>
        <v>#REF!</v>
      </c>
      <c r="N36" s="67">
        <v>0</v>
      </c>
      <c r="O36" s="67">
        <f t="shared" si="8"/>
        <v>67557.0634219481</v>
      </c>
      <c r="P36" s="73">
        <f t="shared" si="0"/>
        <v>67557.0634219481</v>
      </c>
      <c r="Q36" s="128">
        <f t="shared" si="6"/>
        <v>1348309.2819001814</v>
      </c>
      <c r="R36" s="128" t="e">
        <f>IF(D36&gt;$G$15,"",IF(G35&gt;0,R35-#REF!,R35))</f>
        <v>#REF!</v>
      </c>
      <c r="S36" s="88"/>
      <c r="T36" s="89"/>
      <c r="V36" s="126"/>
      <c r="W36" s="94" t="s">
        <v>40</v>
      </c>
      <c r="X36" s="127" t="s">
        <v>39</v>
      </c>
    </row>
    <row r="37" spans="4:24">
      <c r="D37" s="72">
        <v>10</v>
      </c>
      <c r="E37" s="65">
        <f t="shared" si="1"/>
        <v>43801</v>
      </c>
      <c r="F37" s="66">
        <f t="shared" si="7"/>
        <v>30</v>
      </c>
      <c r="G37" s="67">
        <f t="shared" si="2"/>
        <v>35822.829711446975</v>
      </c>
      <c r="H37" s="67"/>
      <c r="I37" s="67">
        <f t="shared" si="3"/>
        <v>27606.233710501121</v>
      </c>
      <c r="J37" s="67"/>
      <c r="K37" s="67"/>
      <c r="L37" s="67">
        <f t="shared" si="4"/>
        <v>4128</v>
      </c>
      <c r="M37" s="67" t="e">
        <f t="shared" si="5"/>
        <v>#REF!</v>
      </c>
      <c r="N37" s="67">
        <v>0</v>
      </c>
      <c r="O37" s="67">
        <f t="shared" si="8"/>
        <v>67557.0634219481</v>
      </c>
      <c r="P37" s="73">
        <f t="shared" si="0"/>
        <v>67557.0634219481</v>
      </c>
      <c r="Q37" s="128">
        <f t="shared" si="6"/>
        <v>1313331.6813983563</v>
      </c>
      <c r="R37" s="128" t="e">
        <f>IF(D37&gt;$G$15,"",IF(G36&gt;0,R36-#REF!,R36))</f>
        <v>#REF!</v>
      </c>
      <c r="S37" s="88"/>
      <c r="T37" s="89"/>
      <c r="V37" s="126"/>
      <c r="W37" s="94" t="s">
        <v>40</v>
      </c>
      <c r="X37" s="127" t="s">
        <v>39</v>
      </c>
    </row>
    <row r="38" spans="4:24">
      <c r="D38" s="72">
        <v>11</v>
      </c>
      <c r="E38" s="65">
        <f t="shared" si="1"/>
        <v>43832</v>
      </c>
      <c r="F38" s="66">
        <f t="shared" si="7"/>
        <v>30</v>
      </c>
      <c r="G38" s="67">
        <f t="shared" si="2"/>
        <v>36687.825640192663</v>
      </c>
      <c r="H38" s="67"/>
      <c r="I38" s="67">
        <f t="shared" si="3"/>
        <v>26853.237781755433</v>
      </c>
      <c r="J38" s="67"/>
      <c r="K38" s="67"/>
      <c r="L38" s="67">
        <f t="shared" si="4"/>
        <v>4016</v>
      </c>
      <c r="M38" s="67" t="e">
        <f t="shared" si="5"/>
        <v>#REF!</v>
      </c>
      <c r="N38" s="67">
        <v>0</v>
      </c>
      <c r="O38" s="67">
        <f t="shared" si="8"/>
        <v>67557.0634219481</v>
      </c>
      <c r="P38" s="73">
        <f t="shared" si="0"/>
        <v>67557.0634219481</v>
      </c>
      <c r="Q38" s="128">
        <f t="shared" si="6"/>
        <v>1277508.8516869093</v>
      </c>
      <c r="R38" s="128" t="e">
        <f>IF(D38&gt;$G$15,"",IF(G37&gt;0,R37-#REF!,R37))</f>
        <v>#REF!</v>
      </c>
      <c r="S38" s="88"/>
      <c r="T38" s="89"/>
      <c r="V38" s="126"/>
      <c r="W38" s="94" t="s">
        <v>40</v>
      </c>
      <c r="X38" s="127" t="s">
        <v>39</v>
      </c>
    </row>
    <row r="39" spans="4:24">
      <c r="D39" s="72">
        <v>12</v>
      </c>
      <c r="E39" s="65">
        <f t="shared" si="1"/>
        <v>43863</v>
      </c>
      <c r="F39" s="66">
        <f t="shared" si="7"/>
        <v>30</v>
      </c>
      <c r="G39" s="67">
        <f t="shared" si="2"/>
        <v>37575.003784524713</v>
      </c>
      <c r="H39" s="67"/>
      <c r="I39" s="67">
        <f t="shared" si="3"/>
        <v>26082.059637423386</v>
      </c>
      <c r="J39" s="67"/>
      <c r="K39" s="67"/>
      <c r="L39" s="67">
        <f t="shared" si="4"/>
        <v>3900</v>
      </c>
      <c r="M39" s="67" t="e">
        <f t="shared" si="5"/>
        <v>#REF!</v>
      </c>
      <c r="N39" s="67">
        <v>0</v>
      </c>
      <c r="O39" s="67">
        <f t="shared" si="8"/>
        <v>67557.0634219481</v>
      </c>
      <c r="P39" s="73">
        <f t="shared" si="0"/>
        <v>67557.0634219481</v>
      </c>
      <c r="Q39" s="128">
        <f t="shared" si="6"/>
        <v>1240821.0260467166</v>
      </c>
      <c r="R39" s="128" t="e">
        <f>IF(D39&gt;$G$15,"",IF(G38&gt;0,R38-#REF!,R38))</f>
        <v>#REF!</v>
      </c>
      <c r="S39" s="88"/>
      <c r="T39" s="89"/>
      <c r="V39" s="126"/>
      <c r="W39" s="94" t="s">
        <v>40</v>
      </c>
      <c r="X39" s="127" t="s">
        <v>39</v>
      </c>
    </row>
    <row r="40" spans="4:24">
      <c r="D40" s="72">
        <v>13</v>
      </c>
      <c r="E40" s="65">
        <f t="shared" si="1"/>
        <v>43892</v>
      </c>
      <c r="F40" s="66">
        <f t="shared" si="7"/>
        <v>30</v>
      </c>
      <c r="G40" s="67">
        <f t="shared" si="2"/>
        <v>38482.83041464461</v>
      </c>
      <c r="H40" s="67"/>
      <c r="I40" s="67">
        <f t="shared" si="3"/>
        <v>25292.23300730349</v>
      </c>
      <c r="J40" s="67"/>
      <c r="K40" s="67"/>
      <c r="L40" s="67">
        <f t="shared" si="4"/>
        <v>3782</v>
      </c>
      <c r="M40" s="67" t="e">
        <f t="shared" si="5"/>
        <v>#REF!</v>
      </c>
      <c r="N40" s="67">
        <v>0</v>
      </c>
      <c r="O40" s="67">
        <f t="shared" si="8"/>
        <v>67557.0634219481</v>
      </c>
      <c r="P40" s="73">
        <f t="shared" si="0"/>
        <v>67557.0634219481</v>
      </c>
      <c r="Q40" s="128">
        <f t="shared" si="6"/>
        <v>1203246.0222621919</v>
      </c>
      <c r="R40" s="128" t="e">
        <f>IF(D40&gt;$G$15,"",IF(G39&gt;0,R39-#REF!,R39))</f>
        <v>#REF!</v>
      </c>
      <c r="S40" s="88"/>
      <c r="T40" s="89"/>
      <c r="V40" s="126"/>
      <c r="W40" s="94" t="s">
        <v>40</v>
      </c>
      <c r="X40" s="127" t="s">
        <v>39</v>
      </c>
    </row>
    <row r="41" spans="4:24">
      <c r="D41" s="72">
        <v>14</v>
      </c>
      <c r="E41" s="65">
        <f t="shared" si="1"/>
        <v>43923</v>
      </c>
      <c r="F41" s="66">
        <f t="shared" si="7"/>
        <v>30</v>
      </c>
      <c r="G41" s="67">
        <f t="shared" si="2"/>
        <v>39412.739561751383</v>
      </c>
      <c r="H41" s="67"/>
      <c r="I41" s="67">
        <f t="shared" si="3"/>
        <v>24483.323860196713</v>
      </c>
      <c r="J41" s="67"/>
      <c r="K41" s="67"/>
      <c r="L41" s="67">
        <f t="shared" si="4"/>
        <v>3661</v>
      </c>
      <c r="M41" s="67" t="e">
        <f t="shared" si="5"/>
        <v>#REF!</v>
      </c>
      <c r="N41" s="67">
        <v>0</v>
      </c>
      <c r="O41" s="67">
        <f t="shared" si="8"/>
        <v>67557.0634219481</v>
      </c>
      <c r="P41" s="73">
        <f t="shared" si="0"/>
        <v>67557.0634219481</v>
      </c>
      <c r="Q41" s="128">
        <f t="shared" si="6"/>
        <v>1164763.1918475472</v>
      </c>
      <c r="R41" s="128" t="e">
        <f>IF(D41&gt;$G$15,"",IF(G40&gt;0,R40-#REF!,R40))</f>
        <v>#REF!</v>
      </c>
      <c r="S41" s="88"/>
      <c r="T41" s="89"/>
      <c r="V41" s="126"/>
      <c r="W41" s="94" t="s">
        <v>40</v>
      </c>
      <c r="X41" s="127" t="s">
        <v>39</v>
      </c>
    </row>
    <row r="42" spans="4:24">
      <c r="D42" s="72">
        <v>15</v>
      </c>
      <c r="E42" s="65">
        <f t="shared" si="1"/>
        <v>43953</v>
      </c>
      <c r="F42" s="66">
        <f t="shared" si="7"/>
        <v>30</v>
      </c>
      <c r="G42" s="67">
        <f t="shared" si="2"/>
        <v>40365.195400381854</v>
      </c>
      <c r="H42" s="67"/>
      <c r="I42" s="67">
        <f t="shared" si="3"/>
        <v>23654.86802156625</v>
      </c>
      <c r="J42" s="67"/>
      <c r="K42" s="67"/>
      <c r="L42" s="67">
        <f t="shared" si="4"/>
        <v>3537</v>
      </c>
      <c r="M42" s="67" t="e">
        <f t="shared" si="5"/>
        <v>#REF!</v>
      </c>
      <c r="N42" s="67">
        <v>0</v>
      </c>
      <c r="O42" s="67">
        <f t="shared" si="8"/>
        <v>67557.0634219481</v>
      </c>
      <c r="P42" s="73">
        <f t="shared" si="0"/>
        <v>67557.0634219481</v>
      </c>
      <c r="Q42" s="128">
        <f t="shared" si="6"/>
        <v>1125350.4522857957</v>
      </c>
      <c r="R42" s="128" t="e">
        <f>IF(D42&gt;$G$15,"",IF(G41&gt;0,R41-#REF!,R41))</f>
        <v>#REF!</v>
      </c>
      <c r="S42" s="88"/>
      <c r="T42" s="89"/>
      <c r="V42" s="126"/>
      <c r="W42" s="94" t="s">
        <v>40</v>
      </c>
      <c r="X42" s="127" t="s">
        <v>39</v>
      </c>
    </row>
    <row r="43" spans="4:24">
      <c r="D43" s="72">
        <v>16</v>
      </c>
      <c r="E43" s="65">
        <f t="shared" si="1"/>
        <v>43984</v>
      </c>
      <c r="F43" s="66">
        <f t="shared" si="7"/>
        <v>30</v>
      </c>
      <c r="G43" s="67">
        <f t="shared" si="2"/>
        <v>41339.671862022151</v>
      </c>
      <c r="H43" s="67"/>
      <c r="I43" s="67">
        <f t="shared" si="3"/>
        <v>22806.391559925949</v>
      </c>
      <c r="J43" s="67"/>
      <c r="K43" s="67"/>
      <c r="L43" s="67">
        <f t="shared" si="4"/>
        <v>3411</v>
      </c>
      <c r="M43" s="67" t="e">
        <f t="shared" si="5"/>
        <v>#REF!</v>
      </c>
      <c r="N43" s="67">
        <v>0</v>
      </c>
      <c r="O43" s="67">
        <f t="shared" si="8"/>
        <v>67557.0634219481</v>
      </c>
      <c r="P43" s="73">
        <f t="shared" si="0"/>
        <v>67557.0634219481</v>
      </c>
      <c r="Q43" s="128">
        <f t="shared" si="6"/>
        <v>1084985.2568854138</v>
      </c>
      <c r="R43" s="128" t="e">
        <f>IF(D43&gt;$G$15,"",IF(G42&gt;0,R42-#REF!,R42))</f>
        <v>#REF!</v>
      </c>
      <c r="S43" s="88"/>
      <c r="T43" s="89"/>
      <c r="V43" s="126"/>
      <c r="W43" s="94" t="s">
        <v>40</v>
      </c>
      <c r="X43" s="127" t="s">
        <v>39</v>
      </c>
    </row>
    <row r="44" spans="4:24">
      <c r="D44" s="72">
        <v>17</v>
      </c>
      <c r="E44" s="65">
        <f t="shared" si="1"/>
        <v>44014</v>
      </c>
      <c r="F44" s="66">
        <f t="shared" si="7"/>
        <v>30</v>
      </c>
      <c r="G44" s="67">
        <f t="shared" si="2"/>
        <v>42338.631820197603</v>
      </c>
      <c r="H44" s="67"/>
      <c r="I44" s="67">
        <f t="shared" si="3"/>
        <v>21937.431601750497</v>
      </c>
      <c r="J44" s="67"/>
      <c r="K44" s="67"/>
      <c r="L44" s="67">
        <f t="shared" si="4"/>
        <v>3281</v>
      </c>
      <c r="M44" s="67" t="e">
        <f t="shared" si="5"/>
        <v>#REF!</v>
      </c>
      <c r="N44" s="67">
        <v>0</v>
      </c>
      <c r="O44" s="67">
        <f t="shared" si="8"/>
        <v>67557.0634219481</v>
      </c>
      <c r="P44" s="73">
        <f t="shared" si="0"/>
        <v>67557.0634219481</v>
      </c>
      <c r="Q44" s="128">
        <f t="shared" si="6"/>
        <v>1043645.5850233916</v>
      </c>
      <c r="R44" s="128" t="e">
        <f>IF(D44&gt;$G$15,"",IF(G43&gt;0,R43-#REF!,R43))</f>
        <v>#REF!</v>
      </c>
      <c r="S44" s="88"/>
      <c r="T44" s="89"/>
      <c r="V44" s="126"/>
      <c r="W44" s="94" t="s">
        <v>40</v>
      </c>
      <c r="X44" s="127" t="s">
        <v>39</v>
      </c>
    </row>
    <row r="45" spans="4:24">
      <c r="D45" s="72">
        <v>18</v>
      </c>
      <c r="E45" s="65">
        <f t="shared" si="1"/>
        <v>44045</v>
      </c>
      <c r="F45" s="66">
        <f t="shared" si="7"/>
        <v>30</v>
      </c>
      <c r="G45" s="67">
        <f t="shared" si="2"/>
        <v>43361.58991803832</v>
      </c>
      <c r="H45" s="67"/>
      <c r="I45" s="67">
        <f t="shared" si="3"/>
        <v>21047.47350390978</v>
      </c>
      <c r="J45" s="67"/>
      <c r="K45" s="67"/>
      <c r="L45" s="67">
        <f t="shared" si="4"/>
        <v>3148</v>
      </c>
      <c r="M45" s="67" t="e">
        <f t="shared" si="5"/>
        <v>#REF!</v>
      </c>
      <c r="N45" s="67">
        <v>0</v>
      </c>
      <c r="O45" s="67">
        <f t="shared" si="8"/>
        <v>67557.0634219481</v>
      </c>
      <c r="P45" s="73">
        <f t="shared" si="0"/>
        <v>67557.0634219481</v>
      </c>
      <c r="Q45" s="128">
        <f t="shared" si="6"/>
        <v>1001306.9532031941</v>
      </c>
      <c r="R45" s="128" t="e">
        <f>IF(D45&gt;$G$15,"",IF(G44&gt;0,R44-#REF!,R44))</f>
        <v>#REF!</v>
      </c>
      <c r="S45" s="88"/>
      <c r="T45" s="89"/>
      <c r="V45" s="126"/>
      <c r="W45" s="94" t="s">
        <v>40</v>
      </c>
      <c r="X45" s="127" t="s">
        <v>39</v>
      </c>
    </row>
    <row r="46" spans="4:24">
      <c r="D46" s="72">
        <v>19</v>
      </c>
      <c r="E46" s="65">
        <f t="shared" si="1"/>
        <v>44076</v>
      </c>
      <c r="F46" s="66">
        <f t="shared" si="7"/>
        <v>30</v>
      </c>
      <c r="G46" s="67">
        <f t="shared" si="2"/>
        <v>44410.050596472371</v>
      </c>
      <c r="H46" s="67"/>
      <c r="I46" s="67">
        <f t="shared" si="3"/>
        <v>20136.012825475733</v>
      </c>
      <c r="J46" s="67"/>
      <c r="K46" s="67"/>
      <c r="L46" s="67">
        <f t="shared" si="4"/>
        <v>3011</v>
      </c>
      <c r="M46" s="67" t="e">
        <f t="shared" si="5"/>
        <v>#REF!</v>
      </c>
      <c r="N46" s="67">
        <v>0</v>
      </c>
      <c r="O46" s="67">
        <f t="shared" si="8"/>
        <v>67557.0634219481</v>
      </c>
      <c r="P46" s="73">
        <f t="shared" si="0"/>
        <v>67557.0634219481</v>
      </c>
      <c r="Q46" s="128">
        <f t="shared" si="6"/>
        <v>957945.36328515573</v>
      </c>
      <c r="R46" s="128" t="e">
        <f>IF(D46&gt;$G$15,"",IF(G45&gt;0,R45-#REF!,R45))</f>
        <v>#REF!</v>
      </c>
      <c r="S46" s="88"/>
      <c r="T46" s="89"/>
      <c r="V46" s="126"/>
      <c r="W46" s="94" t="s">
        <v>40</v>
      </c>
      <c r="X46" s="127" t="s">
        <v>39</v>
      </c>
    </row>
    <row r="47" spans="4:24">
      <c r="D47" s="72">
        <v>20</v>
      </c>
      <c r="E47" s="65">
        <f t="shared" si="1"/>
        <v>44106</v>
      </c>
      <c r="F47" s="66">
        <f t="shared" si="7"/>
        <v>30</v>
      </c>
      <c r="G47" s="67">
        <f t="shared" si="2"/>
        <v>45482.549919778139</v>
      </c>
      <c r="H47" s="67"/>
      <c r="I47" s="67">
        <f t="shared" si="3"/>
        <v>19202.513502169961</v>
      </c>
      <c r="J47" s="67"/>
      <c r="K47" s="67"/>
      <c r="L47" s="67">
        <f t="shared" si="4"/>
        <v>2872</v>
      </c>
      <c r="M47" s="67" t="e">
        <f t="shared" si="5"/>
        <v>#REF!</v>
      </c>
      <c r="N47" s="67">
        <v>0</v>
      </c>
      <c r="O47" s="67">
        <f t="shared" si="8"/>
        <v>67557.0634219481</v>
      </c>
      <c r="P47" s="73">
        <f t="shared" si="0"/>
        <v>67557.0634219481</v>
      </c>
      <c r="Q47" s="128">
        <f t="shared" si="6"/>
        <v>913535.31268868339</v>
      </c>
      <c r="R47" s="128" t="e">
        <f>IF(D47&gt;$G$15,"",IF(G46&gt;0,R46-#REF!,R46))</f>
        <v>#REF!</v>
      </c>
      <c r="S47" s="88"/>
      <c r="T47" s="89"/>
      <c r="V47" s="126"/>
      <c r="W47" s="94" t="s">
        <v>40</v>
      </c>
      <c r="X47" s="127" t="s">
        <v>39</v>
      </c>
    </row>
    <row r="48" spans="4:24">
      <c r="D48" s="72">
        <v>21</v>
      </c>
      <c r="E48" s="65">
        <f t="shared" si="1"/>
        <v>44137</v>
      </c>
      <c r="F48" s="66">
        <f t="shared" si="7"/>
        <v>30</v>
      </c>
      <c r="G48" s="67">
        <f t="shared" si="2"/>
        <v>46581.593180303185</v>
      </c>
      <c r="H48" s="67"/>
      <c r="I48" s="67">
        <f t="shared" si="3"/>
        <v>18246.470241644911</v>
      </c>
      <c r="J48" s="67"/>
      <c r="K48" s="67"/>
      <c r="L48" s="67">
        <f t="shared" si="4"/>
        <v>2729</v>
      </c>
      <c r="M48" s="67" t="e">
        <f t="shared" si="5"/>
        <v>#REF!</v>
      </c>
      <c r="N48" s="67">
        <v>0</v>
      </c>
      <c r="O48" s="67">
        <f t="shared" si="8"/>
        <v>67557.0634219481</v>
      </c>
      <c r="P48" s="73">
        <f t="shared" si="0"/>
        <v>67557.0634219481</v>
      </c>
      <c r="Q48" s="128">
        <f t="shared" si="6"/>
        <v>868052.76276890526</v>
      </c>
      <c r="R48" s="128" t="e">
        <f>IF(D48&gt;$G$15,"",IF(G47&gt;0,R47-#REF!,R47))</f>
        <v>#REF!</v>
      </c>
      <c r="S48" s="88"/>
      <c r="T48" s="89"/>
      <c r="V48" s="126"/>
      <c r="W48" s="94" t="s">
        <v>40</v>
      </c>
      <c r="X48" s="127" t="s">
        <v>39</v>
      </c>
    </row>
    <row r="49" spans="4:24">
      <c r="D49" s="72">
        <v>22</v>
      </c>
      <c r="E49" s="65">
        <f t="shared" si="1"/>
        <v>44167</v>
      </c>
      <c r="F49" s="66">
        <f t="shared" si="7"/>
        <v>30</v>
      </c>
      <c r="G49" s="67">
        <f t="shared" si="2"/>
        <v>47707.738331643588</v>
      </c>
      <c r="H49" s="67"/>
      <c r="I49" s="67">
        <f t="shared" si="3"/>
        <v>17267.325090304512</v>
      </c>
      <c r="J49" s="67"/>
      <c r="K49" s="67"/>
      <c r="L49" s="67">
        <f t="shared" si="4"/>
        <v>2582</v>
      </c>
      <c r="M49" s="67" t="e">
        <f t="shared" si="5"/>
        <v>#REF!</v>
      </c>
      <c r="N49" s="67">
        <v>0</v>
      </c>
      <c r="O49" s="67">
        <f t="shared" si="8"/>
        <v>67557.0634219481</v>
      </c>
      <c r="P49" s="73">
        <f t="shared" si="0"/>
        <v>67557.0634219481</v>
      </c>
      <c r="Q49" s="128">
        <f t="shared" si="6"/>
        <v>821471.16958860203</v>
      </c>
      <c r="R49" s="128" t="e">
        <f>IF(D49&gt;$G$15,"",IF(G48&gt;0,R48-#REF!,R48))</f>
        <v>#REF!</v>
      </c>
      <c r="S49" s="88"/>
      <c r="T49" s="89"/>
      <c r="V49" s="126"/>
      <c r="W49" s="94" t="s">
        <v>40</v>
      </c>
      <c r="X49" s="127" t="s">
        <v>39</v>
      </c>
    </row>
    <row r="50" spans="4:24">
      <c r="D50" s="72">
        <v>23</v>
      </c>
      <c r="E50" s="65">
        <f t="shared" si="1"/>
        <v>44198</v>
      </c>
      <c r="F50" s="66">
        <f t="shared" si="7"/>
        <v>30</v>
      </c>
      <c r="G50" s="67">
        <f t="shared" si="2"/>
        <v>48860.555055580757</v>
      </c>
      <c r="H50" s="67"/>
      <c r="I50" s="67">
        <f t="shared" si="3"/>
        <v>16264.508366367347</v>
      </c>
      <c r="J50" s="67"/>
      <c r="K50" s="67"/>
      <c r="L50" s="67">
        <f t="shared" si="4"/>
        <v>2432</v>
      </c>
      <c r="M50" s="67" t="e">
        <f t="shared" si="5"/>
        <v>#REF!</v>
      </c>
      <c r="N50" s="67">
        <v>0</v>
      </c>
      <c r="O50" s="67">
        <f t="shared" si="8"/>
        <v>67557.0634219481</v>
      </c>
      <c r="P50" s="73">
        <f t="shared" si="0"/>
        <v>67557.0634219481</v>
      </c>
      <c r="Q50" s="128">
        <f t="shared" si="6"/>
        <v>773763.4312569584</v>
      </c>
      <c r="R50" s="128" t="e">
        <f>IF(D50&gt;$G$15,"",IF(G49&gt;0,R49-#REF!,R49))</f>
        <v>#REF!</v>
      </c>
      <c r="S50" s="88"/>
      <c r="T50" s="89"/>
      <c r="V50" s="126"/>
      <c r="W50" s="94" t="s">
        <v>40</v>
      </c>
      <c r="X50" s="127" t="s">
        <v>39</v>
      </c>
    </row>
    <row r="51" spans="4:24">
      <c r="D51" s="72">
        <v>24</v>
      </c>
      <c r="E51" s="65">
        <f t="shared" si="1"/>
        <v>44229</v>
      </c>
      <c r="F51" s="66">
        <f t="shared" si="7"/>
        <v>30</v>
      </c>
      <c r="G51" s="67">
        <f t="shared" si="2"/>
        <v>50040.603988606563</v>
      </c>
      <c r="H51" s="67"/>
      <c r="I51" s="67">
        <f t="shared" si="3"/>
        <v>15237.459433341539</v>
      </c>
      <c r="J51" s="67"/>
      <c r="K51" s="67"/>
      <c r="L51" s="67">
        <f t="shared" si="4"/>
        <v>2279</v>
      </c>
      <c r="M51" s="67" t="e">
        <f t="shared" si="5"/>
        <v>#REF!</v>
      </c>
      <c r="N51" s="67">
        <v>0</v>
      </c>
      <c r="O51" s="67">
        <f t="shared" si="8"/>
        <v>67557.0634219481</v>
      </c>
      <c r="P51" s="73">
        <f t="shared" si="0"/>
        <v>67557.0634219481</v>
      </c>
      <c r="Q51" s="128">
        <f t="shared" si="6"/>
        <v>724902.8762013776</v>
      </c>
      <c r="R51" s="128" t="e">
        <f>IF(D51&gt;$G$15,"",IF(G50&gt;0,R50-#REF!,R50))</f>
        <v>#REF!</v>
      </c>
      <c r="S51" s="88"/>
      <c r="T51" s="89"/>
      <c r="V51" s="126"/>
      <c r="W51" s="94" t="s">
        <v>40</v>
      </c>
      <c r="X51" s="127" t="s">
        <v>39</v>
      </c>
    </row>
    <row r="52" spans="4:24">
      <c r="D52" s="72">
        <v>25</v>
      </c>
      <c r="E52" s="65">
        <f t="shared" si="1"/>
        <v>44257</v>
      </c>
      <c r="F52" s="66">
        <f t="shared" si="7"/>
        <v>30</v>
      </c>
      <c r="G52" s="67">
        <f t="shared" si="2"/>
        <v>51249.457551792701</v>
      </c>
      <c r="H52" s="67"/>
      <c r="I52" s="67">
        <f t="shared" si="3"/>
        <v>14185.605870155401</v>
      </c>
      <c r="J52" s="67"/>
      <c r="K52" s="67"/>
      <c r="L52" s="67">
        <f t="shared" si="4"/>
        <v>2122</v>
      </c>
      <c r="M52" s="67" t="e">
        <f t="shared" si="5"/>
        <v>#REF!</v>
      </c>
      <c r="N52" s="67">
        <v>0</v>
      </c>
      <c r="O52" s="67">
        <f t="shared" si="8"/>
        <v>67557.0634219481</v>
      </c>
      <c r="P52" s="73">
        <f t="shared" si="0"/>
        <v>67557.0634219481</v>
      </c>
      <c r="Q52" s="128">
        <f t="shared" si="6"/>
        <v>674862.272212771</v>
      </c>
      <c r="R52" s="128" t="e">
        <f>IF(D52&gt;$G$15,"",IF(G51&gt;0,R51-#REF!,R51))</f>
        <v>#REF!</v>
      </c>
      <c r="S52" s="88"/>
      <c r="T52" s="89"/>
      <c r="V52" s="126"/>
      <c r="W52" s="94" t="s">
        <v>40</v>
      </c>
      <c r="X52" s="127" t="s">
        <v>39</v>
      </c>
    </row>
    <row r="53" spans="4:24">
      <c r="D53" s="72">
        <v>26</v>
      </c>
      <c r="E53" s="65">
        <f t="shared" si="1"/>
        <v>44288</v>
      </c>
      <c r="F53" s="66">
        <f t="shared" si="7"/>
        <v>30</v>
      </c>
      <c r="G53" s="67">
        <f t="shared" si="2"/>
        <v>52487.72121850391</v>
      </c>
      <c r="H53" s="67"/>
      <c r="I53" s="67">
        <f t="shared" si="3"/>
        <v>13108.342203444186</v>
      </c>
      <c r="J53" s="67"/>
      <c r="K53" s="67"/>
      <c r="L53" s="67">
        <f t="shared" si="4"/>
        <v>1961</v>
      </c>
      <c r="M53" s="67" t="e">
        <f t="shared" si="5"/>
        <v>#REF!</v>
      </c>
      <c r="N53" s="67">
        <v>0</v>
      </c>
      <c r="O53" s="67">
        <f t="shared" si="8"/>
        <v>67557.0634219481</v>
      </c>
      <c r="P53" s="73">
        <f t="shared" si="0"/>
        <v>67557.0634219481</v>
      </c>
      <c r="Q53" s="128">
        <f t="shared" si="6"/>
        <v>623612.81466097827</v>
      </c>
      <c r="R53" s="128" t="e">
        <f>IF(D53&gt;$G$15,"",IF(G52&gt;0,R52-#REF!,R52))</f>
        <v>#REF!</v>
      </c>
      <c r="S53" s="88"/>
      <c r="T53" s="89"/>
      <c r="V53" s="126"/>
      <c r="W53" s="94" t="s">
        <v>40</v>
      </c>
      <c r="X53" s="127" t="s">
        <v>39</v>
      </c>
    </row>
    <row r="54" spans="4:24">
      <c r="D54" s="72">
        <v>27</v>
      </c>
      <c r="E54" s="65">
        <f t="shared" si="1"/>
        <v>44318</v>
      </c>
      <c r="F54" s="66">
        <f t="shared" si="7"/>
        <v>30</v>
      </c>
      <c r="G54" s="67">
        <f t="shared" si="2"/>
        <v>53756.013189155878</v>
      </c>
      <c r="H54" s="67"/>
      <c r="I54" s="67">
        <f t="shared" si="3"/>
        <v>12005.050232792222</v>
      </c>
      <c r="J54" s="67"/>
      <c r="K54" s="67"/>
      <c r="L54" s="67">
        <f t="shared" si="4"/>
        <v>1796</v>
      </c>
      <c r="M54" s="67" t="e">
        <f t="shared" si="5"/>
        <v>#REF!</v>
      </c>
      <c r="N54" s="67">
        <v>0</v>
      </c>
      <c r="O54" s="67">
        <f t="shared" si="8"/>
        <v>67557.0634219481</v>
      </c>
      <c r="P54" s="73">
        <f t="shared" si="0"/>
        <v>67557.0634219481</v>
      </c>
      <c r="Q54" s="128">
        <f t="shared" si="6"/>
        <v>571125.09344247438</v>
      </c>
      <c r="R54" s="128" t="e">
        <f>IF(D54&gt;$G$15,"",IF(G53&gt;0,R53-#REF!,R53))</f>
        <v>#REF!</v>
      </c>
      <c r="S54" s="88"/>
      <c r="T54" s="89"/>
      <c r="V54" s="126"/>
      <c r="W54" s="94" t="s">
        <v>40</v>
      </c>
      <c r="X54" s="127" t="s">
        <v>39</v>
      </c>
    </row>
    <row r="55" spans="4:24">
      <c r="D55" s="72">
        <v>28</v>
      </c>
      <c r="E55" s="65">
        <f t="shared" si="1"/>
        <v>44349</v>
      </c>
      <c r="F55" s="66">
        <f t="shared" si="7"/>
        <v>30</v>
      </c>
      <c r="G55" s="67">
        <f t="shared" si="2"/>
        <v>55054.964658737837</v>
      </c>
      <c r="H55" s="67"/>
      <c r="I55" s="67">
        <f t="shared" si="3"/>
        <v>10875.098763210262</v>
      </c>
      <c r="J55" s="67"/>
      <c r="K55" s="67"/>
      <c r="L55" s="67">
        <f t="shared" si="4"/>
        <v>1627</v>
      </c>
      <c r="M55" s="67" t="e">
        <f t="shared" si="5"/>
        <v>#REF!</v>
      </c>
      <c r="N55" s="67">
        <v>0</v>
      </c>
      <c r="O55" s="67">
        <f t="shared" si="8"/>
        <v>67557.0634219481</v>
      </c>
      <c r="P55" s="73">
        <f t="shared" si="0"/>
        <v>67557.0634219481</v>
      </c>
      <c r="Q55" s="128">
        <f t="shared" si="6"/>
        <v>517369.08025331848</v>
      </c>
      <c r="R55" s="128" t="e">
        <f>IF(D55&gt;$G$15,"",IF(G54&gt;0,R54-#REF!,R54))</f>
        <v>#REF!</v>
      </c>
      <c r="S55" s="88"/>
      <c r="T55" s="89"/>
      <c r="V55" s="126"/>
      <c r="W55" s="94" t="s">
        <v>40</v>
      </c>
      <c r="X55" s="127" t="s">
        <v>39</v>
      </c>
    </row>
    <row r="56" spans="4:24">
      <c r="D56" s="72">
        <v>29</v>
      </c>
      <c r="E56" s="65">
        <f t="shared" si="1"/>
        <v>44379</v>
      </c>
      <c r="F56" s="66">
        <f t="shared" si="7"/>
        <v>30</v>
      </c>
      <c r="G56" s="67">
        <f t="shared" si="2"/>
        <v>56385.220089958559</v>
      </c>
      <c r="H56" s="67"/>
      <c r="I56" s="67">
        <f t="shared" si="3"/>
        <v>9717.8433319895375</v>
      </c>
      <c r="J56" s="67"/>
      <c r="K56" s="67"/>
      <c r="L56" s="67">
        <f t="shared" si="4"/>
        <v>1454</v>
      </c>
      <c r="M56" s="67" t="e">
        <f t="shared" si="5"/>
        <v>#REF!</v>
      </c>
      <c r="N56" s="67">
        <v>0</v>
      </c>
      <c r="O56" s="67">
        <f t="shared" si="8"/>
        <v>67557.0634219481</v>
      </c>
      <c r="P56" s="73">
        <f t="shared" si="0"/>
        <v>67557.0634219481</v>
      </c>
      <c r="Q56" s="128">
        <f t="shared" si="6"/>
        <v>462314.11559458065</v>
      </c>
      <c r="R56" s="128" t="e">
        <f>IF(D56&gt;$G$15,"",IF(G55&gt;0,R55-#REF!,R55))</f>
        <v>#REF!</v>
      </c>
      <c r="S56" s="88"/>
      <c r="T56" s="89"/>
      <c r="V56" s="126"/>
      <c r="W56" s="94" t="s">
        <v>40</v>
      </c>
      <c r="X56" s="127" t="s">
        <v>39</v>
      </c>
    </row>
    <row r="57" spans="4:24">
      <c r="D57" s="72">
        <v>30</v>
      </c>
      <c r="E57" s="65">
        <f t="shared" si="1"/>
        <v>44410</v>
      </c>
      <c r="F57" s="66">
        <f t="shared" si="7"/>
        <v>30</v>
      </c>
      <c r="G57" s="67">
        <f t="shared" si="2"/>
        <v>57748.437492133831</v>
      </c>
      <c r="H57" s="67"/>
      <c r="I57" s="67">
        <f t="shared" si="3"/>
        <v>8532.6259298142686</v>
      </c>
      <c r="J57" s="67"/>
      <c r="K57" s="67"/>
      <c r="L57" s="67">
        <f t="shared" si="4"/>
        <v>1276</v>
      </c>
      <c r="M57" s="67" t="e">
        <f t="shared" si="5"/>
        <v>#REF!</v>
      </c>
      <c r="N57" s="67">
        <v>0</v>
      </c>
      <c r="O57" s="67">
        <f t="shared" si="8"/>
        <v>67557.0634219481</v>
      </c>
      <c r="P57" s="73">
        <f t="shared" si="0"/>
        <v>67557.0634219481</v>
      </c>
      <c r="Q57" s="128">
        <f t="shared" si="6"/>
        <v>405928.89550462208</v>
      </c>
      <c r="R57" s="128" t="e">
        <f>IF(D57&gt;$G$15,"",IF(G56&gt;0,R56-#REF!,R56))</f>
        <v>#REF!</v>
      </c>
      <c r="S57" s="88"/>
      <c r="T57" s="89"/>
      <c r="V57" s="126"/>
      <c r="W57" s="94" t="s">
        <v>40</v>
      </c>
      <c r="X57" s="127" t="s">
        <v>39</v>
      </c>
    </row>
    <row r="58" spans="4:24">
      <c r="D58" s="72">
        <v>31</v>
      </c>
      <c r="E58" s="65">
        <f t="shared" si="1"/>
        <v>44441</v>
      </c>
      <c r="F58" s="66">
        <f t="shared" si="7"/>
        <v>30</v>
      </c>
      <c r="G58" s="67">
        <f t="shared" si="2"/>
        <v>59143.30972593747</v>
      </c>
      <c r="H58" s="67"/>
      <c r="I58" s="67">
        <f t="shared" si="3"/>
        <v>7318.753696010629</v>
      </c>
      <c r="J58" s="67"/>
      <c r="K58" s="67"/>
      <c r="L58" s="67">
        <f t="shared" si="4"/>
        <v>1095</v>
      </c>
      <c r="M58" s="67" t="e">
        <f t="shared" si="5"/>
        <v>#REF!</v>
      </c>
      <c r="N58" s="67">
        <v>0</v>
      </c>
      <c r="O58" s="67">
        <f t="shared" si="8"/>
        <v>67557.0634219481</v>
      </c>
      <c r="P58" s="73">
        <f t="shared" si="0"/>
        <v>67557.0634219481</v>
      </c>
      <c r="Q58" s="128">
        <f t="shared" si="6"/>
        <v>348180.45801248826</v>
      </c>
      <c r="R58" s="128" t="e">
        <f>IF(D58&gt;$G$15,"",IF(G57&gt;0,R57-#REF!,R57))</f>
        <v>#REF!</v>
      </c>
      <c r="S58" s="88"/>
      <c r="T58" s="89"/>
      <c r="V58" s="126"/>
      <c r="W58" s="94" t="s">
        <v>40</v>
      </c>
      <c r="X58" s="127" t="s">
        <v>39</v>
      </c>
    </row>
    <row r="59" spans="4:24">
      <c r="D59" s="72">
        <v>32</v>
      </c>
      <c r="E59" s="65">
        <f t="shared" si="1"/>
        <v>44471</v>
      </c>
      <c r="F59" s="66">
        <f t="shared" si="7"/>
        <v>30</v>
      </c>
      <c r="G59" s="67">
        <f t="shared" si="2"/>
        <v>60572.502175972906</v>
      </c>
      <c r="H59" s="67"/>
      <c r="I59" s="67">
        <f t="shared" si="3"/>
        <v>6075.561245975191</v>
      </c>
      <c r="J59" s="67"/>
      <c r="K59" s="67"/>
      <c r="L59" s="67">
        <f t="shared" si="4"/>
        <v>909</v>
      </c>
      <c r="M59" s="67" t="e">
        <f t="shared" si="5"/>
        <v>#REF!</v>
      </c>
      <c r="N59" s="67">
        <v>0</v>
      </c>
      <c r="O59" s="67">
        <f t="shared" si="8"/>
        <v>67557.0634219481</v>
      </c>
      <c r="P59" s="73">
        <f t="shared" si="0"/>
        <v>67557.0634219481</v>
      </c>
      <c r="Q59" s="128">
        <f t="shared" si="6"/>
        <v>289037.14828655077</v>
      </c>
      <c r="R59" s="128" t="e">
        <f>IF(D59&gt;$G$15,"",IF(G58&gt;0,R58-#REF!,R58))</f>
        <v>#REF!</v>
      </c>
      <c r="S59" s="88"/>
      <c r="T59" s="89"/>
      <c r="V59" s="126"/>
      <c r="W59" s="94" t="s">
        <v>40</v>
      </c>
      <c r="X59" s="127" t="s">
        <v>39</v>
      </c>
    </row>
    <row r="60" spans="4:24">
      <c r="D60" s="72">
        <v>33</v>
      </c>
      <c r="E60" s="65">
        <f t="shared" si="1"/>
        <v>44502</v>
      </c>
      <c r="F60" s="66">
        <f t="shared" si="7"/>
        <v>30</v>
      </c>
      <c r="G60" s="67">
        <f t="shared" si="2"/>
        <v>62035.736253231531</v>
      </c>
      <c r="H60" s="67"/>
      <c r="I60" s="67">
        <f t="shared" si="3"/>
        <v>4802.3271687165716</v>
      </c>
      <c r="J60" s="67"/>
      <c r="K60" s="67"/>
      <c r="L60" s="67">
        <f t="shared" si="4"/>
        <v>719</v>
      </c>
      <c r="M60" s="67" t="e">
        <f t="shared" si="5"/>
        <v>#REF!</v>
      </c>
      <c r="N60" s="67">
        <v>0</v>
      </c>
      <c r="O60" s="67">
        <f t="shared" si="8"/>
        <v>67557.0634219481</v>
      </c>
      <c r="P60" s="73">
        <f t="shared" ref="P60:P91" si="9">IF(D60&gt;$G$15,"",IF(F60&gt;30,G60+I60+L60,G60+L60+I60))</f>
        <v>67557.0634219481</v>
      </c>
      <c r="Q60" s="128">
        <f t="shared" si="6"/>
        <v>228464.64611057786</v>
      </c>
      <c r="R60" s="128" t="e">
        <f>IF(D60&gt;$G$15,"",IF(G59&gt;0,R59-#REF!,R59))</f>
        <v>#REF!</v>
      </c>
      <c r="S60" s="88"/>
      <c r="T60" s="89"/>
      <c r="V60" s="126"/>
      <c r="W60" s="94" t="s">
        <v>40</v>
      </c>
      <c r="X60" s="127" t="s">
        <v>39</v>
      </c>
    </row>
    <row r="61" spans="4:24">
      <c r="D61" s="72">
        <v>34</v>
      </c>
      <c r="E61" s="65">
        <f t="shared" ref="E61:E92" si="10">+IF(D61&gt;$G$15,"",EDATE(E60,1))</f>
        <v>44532</v>
      </c>
      <c r="F61" s="66">
        <f t="shared" si="7"/>
        <v>30</v>
      </c>
      <c r="G61" s="67">
        <f t="shared" ref="G61:G92" si="11">IF(D61=$G$15,Q61,IF(F61&gt;30,H61,O61-(I61+L61)))</f>
        <v>63534.727512763369</v>
      </c>
      <c r="H61" s="67"/>
      <c r="I61" s="67">
        <f t="shared" ref="I61:I97" si="12">IF(D61&gt;$G$15,"",IF(G60&lt;=0,(Q61*$J$15*F61/360)-G60,Q61*$J$15*F61/360))</f>
        <v>3498.3359091847283</v>
      </c>
      <c r="J61" s="67"/>
      <c r="K61" s="67"/>
      <c r="L61" s="67">
        <f t="shared" ref="L61:L97" si="13">IF(D61&gt;$G$15,"",ROUNDUP(Q61*$G$16/$H$17,0))</f>
        <v>524</v>
      </c>
      <c r="M61" s="67" t="e">
        <f t="shared" ref="M61:M97" si="14">IF(D61&gt;$G$15,"",ROUNDUP(R61*$G$16/$H$17,0))</f>
        <v>#REF!</v>
      </c>
      <c r="N61" s="67">
        <v>0</v>
      </c>
      <c r="O61" s="67">
        <f t="shared" si="8"/>
        <v>67557.0634219481</v>
      </c>
      <c r="P61" s="73">
        <f t="shared" si="9"/>
        <v>67557.0634219481</v>
      </c>
      <c r="Q61" s="128">
        <f t="shared" ref="Q61:Q97" si="15">IF(D61&gt;$G$15,"",IF(G60&gt;0,Q60-G60,Q60))</f>
        <v>166428.90985734633</v>
      </c>
      <c r="R61" s="128" t="e">
        <f>IF(D61&gt;$G$15,"",IF(G60&gt;0,R60-#REF!,R60))</f>
        <v>#REF!</v>
      </c>
      <c r="S61" s="88"/>
      <c r="T61" s="89"/>
      <c r="V61" s="126"/>
      <c r="W61" s="94" t="s">
        <v>40</v>
      </c>
      <c r="X61" s="127" t="s">
        <v>39</v>
      </c>
    </row>
    <row r="62" spans="4:24">
      <c r="D62" s="72">
        <v>35</v>
      </c>
      <c r="E62" s="65">
        <f t="shared" si="10"/>
        <v>44563</v>
      </c>
      <c r="F62" s="66">
        <f t="shared" ref="F62:F97" si="16">+IF(D62&gt;$G$15,"",30)</f>
        <v>30</v>
      </c>
      <c r="G62" s="67">
        <f t="shared" si="11"/>
        <v>65070.227570587944</v>
      </c>
      <c r="H62" s="67"/>
      <c r="I62" s="67">
        <f t="shared" si="12"/>
        <v>2162.8358513601534</v>
      </c>
      <c r="J62" s="67"/>
      <c r="K62" s="67"/>
      <c r="L62" s="67">
        <f t="shared" si="13"/>
        <v>324</v>
      </c>
      <c r="M62" s="67" t="e">
        <f t="shared" si="14"/>
        <v>#REF!</v>
      </c>
      <c r="N62" s="67">
        <v>0</v>
      </c>
      <c r="O62" s="67">
        <f t="shared" ref="O62:O97" si="17">IF(D62&gt;$G$15,"",PMT($J$19,$G$15,-$G$13)+S$28)</f>
        <v>67557.0634219481</v>
      </c>
      <c r="P62" s="73">
        <f t="shared" si="9"/>
        <v>67557.0634219481</v>
      </c>
      <c r="Q62" s="128">
        <f t="shared" si="15"/>
        <v>102894.18234458295</v>
      </c>
      <c r="R62" s="128" t="e">
        <f>IF(D62&gt;$G$15,"",IF(G61&gt;0,R61-#REF!,R61))</f>
        <v>#REF!</v>
      </c>
      <c r="S62" s="88"/>
      <c r="T62" s="89"/>
      <c r="V62" s="126"/>
      <c r="W62" s="94" t="s">
        <v>40</v>
      </c>
      <c r="X62" s="127" t="s">
        <v>39</v>
      </c>
    </row>
    <row r="63" spans="4:24">
      <c r="D63" s="72">
        <v>36</v>
      </c>
      <c r="E63" s="65">
        <f t="shared" si="10"/>
        <v>44594</v>
      </c>
      <c r="F63" s="66">
        <f t="shared" si="16"/>
        <v>30</v>
      </c>
      <c r="G63" s="67">
        <f t="shared" si="11"/>
        <v>37823.954773995007</v>
      </c>
      <c r="H63" s="67"/>
      <c r="I63" s="67">
        <f t="shared" si="12"/>
        <v>795.05958025359917</v>
      </c>
      <c r="J63" s="67"/>
      <c r="K63" s="67"/>
      <c r="L63" s="67">
        <f t="shared" si="13"/>
        <v>119</v>
      </c>
      <c r="M63" s="68" t="e">
        <f t="shared" si="14"/>
        <v>#REF!</v>
      </c>
      <c r="N63" s="69">
        <v>0</v>
      </c>
      <c r="O63" s="67">
        <f t="shared" si="17"/>
        <v>67557.0634219481</v>
      </c>
      <c r="P63" s="73">
        <f t="shared" si="9"/>
        <v>38738.014354248604</v>
      </c>
      <c r="Q63" s="128">
        <f t="shared" si="15"/>
        <v>37823.954773995007</v>
      </c>
      <c r="R63" s="128" t="e">
        <f>IF(D63&gt;$G$15,"",IF(G62&gt;0,R62-#REF!,R62))</f>
        <v>#REF!</v>
      </c>
      <c r="S63" s="88"/>
      <c r="T63" s="89"/>
      <c r="V63" s="126"/>
      <c r="W63" s="94" t="s">
        <v>40</v>
      </c>
      <c r="X63" s="127" t="s">
        <v>39</v>
      </c>
    </row>
    <row r="64" spans="4:24" hidden="1">
      <c r="D64" s="131">
        <v>37</v>
      </c>
      <c r="E64" s="132" t="str">
        <f t="shared" si="10"/>
        <v/>
      </c>
      <c r="F64" s="133" t="str">
        <f t="shared" si="16"/>
        <v/>
      </c>
      <c r="G64" s="134">
        <f t="shared" si="11"/>
        <v>0</v>
      </c>
      <c r="H64" s="135"/>
      <c r="I64" s="136" t="str">
        <f t="shared" si="12"/>
        <v/>
      </c>
      <c r="J64" s="135"/>
      <c r="K64" s="135"/>
      <c r="L64" s="134" t="str">
        <f t="shared" si="13"/>
        <v/>
      </c>
      <c r="M64" s="137" t="str">
        <f t="shared" si="14"/>
        <v/>
      </c>
      <c r="N64" s="134">
        <v>0</v>
      </c>
      <c r="O64" s="135" t="str">
        <f t="shared" si="17"/>
        <v/>
      </c>
      <c r="P64" s="138" t="str">
        <f t="shared" si="9"/>
        <v/>
      </c>
      <c r="Q64" s="128" t="str">
        <f t="shared" si="15"/>
        <v/>
      </c>
      <c r="R64" s="128" t="str">
        <f>IF(D64&gt;$G$15,"",IF(G63&gt;0,R63-#REF!,R63))</f>
        <v/>
      </c>
      <c r="S64" s="88"/>
      <c r="T64" s="89"/>
      <c r="V64" s="126"/>
      <c r="W64" s="94" t="s">
        <v>40</v>
      </c>
      <c r="X64" s="127" t="s">
        <v>39</v>
      </c>
    </row>
    <row r="65" spans="4:24" hidden="1">
      <c r="D65" s="131">
        <v>38</v>
      </c>
      <c r="E65" s="132" t="str">
        <f t="shared" si="10"/>
        <v/>
      </c>
      <c r="F65" s="133" t="str">
        <f t="shared" si="16"/>
        <v/>
      </c>
      <c r="G65" s="134">
        <f t="shared" si="11"/>
        <v>0</v>
      </c>
      <c r="H65" s="135"/>
      <c r="I65" s="136" t="str">
        <f t="shared" si="12"/>
        <v/>
      </c>
      <c r="J65" s="135"/>
      <c r="K65" s="135"/>
      <c r="L65" s="134" t="str">
        <f t="shared" si="13"/>
        <v/>
      </c>
      <c r="M65" s="137" t="str">
        <f t="shared" si="14"/>
        <v/>
      </c>
      <c r="N65" s="134">
        <v>0</v>
      </c>
      <c r="O65" s="135" t="str">
        <f t="shared" si="17"/>
        <v/>
      </c>
      <c r="P65" s="138" t="str">
        <f t="shared" si="9"/>
        <v/>
      </c>
      <c r="Q65" s="128" t="str">
        <f t="shared" si="15"/>
        <v/>
      </c>
      <c r="R65" s="128" t="str">
        <f>IF(D65&gt;$G$15,"",IF(G64&gt;0,R64-#REF!,R64))</f>
        <v/>
      </c>
      <c r="S65" s="88"/>
      <c r="T65" s="89"/>
      <c r="V65" s="126"/>
      <c r="W65" s="94" t="s">
        <v>40</v>
      </c>
      <c r="X65" s="127" t="s">
        <v>39</v>
      </c>
    </row>
    <row r="66" spans="4:24" hidden="1">
      <c r="D66" s="131">
        <v>39</v>
      </c>
      <c r="E66" s="132" t="str">
        <f t="shared" si="10"/>
        <v/>
      </c>
      <c r="F66" s="133" t="str">
        <f t="shared" si="16"/>
        <v/>
      </c>
      <c r="G66" s="134">
        <f t="shared" si="11"/>
        <v>0</v>
      </c>
      <c r="H66" s="135"/>
      <c r="I66" s="136" t="str">
        <f t="shared" si="12"/>
        <v/>
      </c>
      <c r="J66" s="135"/>
      <c r="K66" s="135"/>
      <c r="L66" s="134" t="str">
        <f t="shared" si="13"/>
        <v/>
      </c>
      <c r="M66" s="137" t="str">
        <f t="shared" si="14"/>
        <v/>
      </c>
      <c r="N66" s="134">
        <v>0</v>
      </c>
      <c r="O66" s="135" t="str">
        <f t="shared" si="17"/>
        <v/>
      </c>
      <c r="P66" s="138" t="str">
        <f t="shared" si="9"/>
        <v/>
      </c>
      <c r="Q66" s="128" t="str">
        <f t="shared" si="15"/>
        <v/>
      </c>
      <c r="R66" s="128" t="str">
        <f>IF(D66&gt;$G$15,"",IF(G65&gt;0,R65-#REF!,R65))</f>
        <v/>
      </c>
      <c r="S66" s="88"/>
      <c r="V66" s="126"/>
      <c r="W66" s="94" t="s">
        <v>40</v>
      </c>
      <c r="X66" s="127" t="s">
        <v>39</v>
      </c>
    </row>
    <row r="67" spans="4:24" hidden="1">
      <c r="D67" s="131">
        <v>40</v>
      </c>
      <c r="E67" s="132" t="str">
        <f t="shared" si="10"/>
        <v/>
      </c>
      <c r="F67" s="133" t="str">
        <f t="shared" si="16"/>
        <v/>
      </c>
      <c r="G67" s="134">
        <f t="shared" si="11"/>
        <v>0</v>
      </c>
      <c r="H67" s="135"/>
      <c r="I67" s="136" t="str">
        <f t="shared" si="12"/>
        <v/>
      </c>
      <c r="J67" s="135"/>
      <c r="K67" s="135"/>
      <c r="L67" s="134" t="str">
        <f t="shared" si="13"/>
        <v/>
      </c>
      <c r="M67" s="137" t="str">
        <f t="shared" si="14"/>
        <v/>
      </c>
      <c r="N67" s="134">
        <v>0</v>
      </c>
      <c r="O67" s="135" t="str">
        <f t="shared" si="17"/>
        <v/>
      </c>
      <c r="P67" s="138" t="str">
        <f t="shared" si="9"/>
        <v/>
      </c>
      <c r="Q67" s="128" t="str">
        <f t="shared" si="15"/>
        <v/>
      </c>
      <c r="R67" s="128" t="str">
        <f>IF(D67&gt;$G$15,"",IF(G66&gt;0,R66-#REF!,R66))</f>
        <v/>
      </c>
      <c r="S67" s="88"/>
      <c r="V67" s="126"/>
      <c r="W67" s="94" t="s">
        <v>40</v>
      </c>
      <c r="X67" s="127" t="s">
        <v>39</v>
      </c>
    </row>
    <row r="68" spans="4:24" hidden="1">
      <c r="D68" s="131">
        <v>41</v>
      </c>
      <c r="E68" s="132" t="str">
        <f t="shared" si="10"/>
        <v/>
      </c>
      <c r="F68" s="133" t="str">
        <f t="shared" si="16"/>
        <v/>
      </c>
      <c r="G68" s="134">
        <f t="shared" si="11"/>
        <v>0</v>
      </c>
      <c r="H68" s="135"/>
      <c r="I68" s="136" t="str">
        <f t="shared" si="12"/>
        <v/>
      </c>
      <c r="J68" s="135"/>
      <c r="K68" s="135"/>
      <c r="L68" s="134" t="str">
        <f t="shared" si="13"/>
        <v/>
      </c>
      <c r="M68" s="137" t="str">
        <f t="shared" si="14"/>
        <v/>
      </c>
      <c r="N68" s="134">
        <v>0</v>
      </c>
      <c r="O68" s="135" t="str">
        <f t="shared" si="17"/>
        <v/>
      </c>
      <c r="P68" s="138" t="str">
        <f t="shared" si="9"/>
        <v/>
      </c>
      <c r="Q68" s="128" t="str">
        <f t="shared" si="15"/>
        <v/>
      </c>
      <c r="R68" s="128" t="str">
        <f>IF(D68&gt;$G$15,"",IF(G67&gt;0,R67-#REF!,R67))</f>
        <v/>
      </c>
      <c r="S68" s="88"/>
      <c r="V68" s="126"/>
      <c r="W68" s="94" t="s">
        <v>40</v>
      </c>
      <c r="X68" s="127" t="s">
        <v>39</v>
      </c>
    </row>
    <row r="69" spans="4:24" hidden="1">
      <c r="D69" s="131">
        <v>42</v>
      </c>
      <c r="E69" s="132" t="str">
        <f t="shared" si="10"/>
        <v/>
      </c>
      <c r="F69" s="133" t="str">
        <f t="shared" si="16"/>
        <v/>
      </c>
      <c r="G69" s="134">
        <f t="shared" si="11"/>
        <v>0</v>
      </c>
      <c r="H69" s="135"/>
      <c r="I69" s="136" t="str">
        <f t="shared" si="12"/>
        <v/>
      </c>
      <c r="J69" s="135"/>
      <c r="K69" s="135"/>
      <c r="L69" s="134" t="str">
        <f t="shared" si="13"/>
        <v/>
      </c>
      <c r="M69" s="137" t="str">
        <f t="shared" si="14"/>
        <v/>
      </c>
      <c r="N69" s="134">
        <v>0</v>
      </c>
      <c r="O69" s="135" t="str">
        <f t="shared" si="17"/>
        <v/>
      </c>
      <c r="P69" s="138" t="str">
        <f t="shared" si="9"/>
        <v/>
      </c>
      <c r="Q69" s="128" t="str">
        <f t="shared" si="15"/>
        <v/>
      </c>
      <c r="R69" s="128" t="str">
        <f>IF(D69&gt;$G$15,"",IF(G68&gt;0,R68-#REF!,R68))</f>
        <v/>
      </c>
      <c r="S69" s="88"/>
      <c r="V69" s="126"/>
      <c r="W69" s="94" t="s">
        <v>40</v>
      </c>
      <c r="X69" s="127" t="s">
        <v>39</v>
      </c>
    </row>
    <row r="70" spans="4:24" hidden="1">
      <c r="D70" s="131">
        <v>43</v>
      </c>
      <c r="E70" s="132" t="str">
        <f t="shared" si="10"/>
        <v/>
      </c>
      <c r="F70" s="133" t="str">
        <f t="shared" si="16"/>
        <v/>
      </c>
      <c r="G70" s="134">
        <f t="shared" si="11"/>
        <v>0</v>
      </c>
      <c r="H70" s="135"/>
      <c r="I70" s="136" t="str">
        <f t="shared" si="12"/>
        <v/>
      </c>
      <c r="J70" s="135"/>
      <c r="K70" s="135"/>
      <c r="L70" s="134" t="str">
        <f t="shared" si="13"/>
        <v/>
      </c>
      <c r="M70" s="137" t="str">
        <f t="shared" si="14"/>
        <v/>
      </c>
      <c r="N70" s="134">
        <v>0</v>
      </c>
      <c r="O70" s="135" t="str">
        <f t="shared" si="17"/>
        <v/>
      </c>
      <c r="P70" s="138" t="str">
        <f t="shared" si="9"/>
        <v/>
      </c>
      <c r="Q70" s="128" t="str">
        <f t="shared" si="15"/>
        <v/>
      </c>
      <c r="R70" s="128" t="str">
        <f>IF(D70&gt;$G$15,"",IF(G69&gt;0,R69-#REF!,R69))</f>
        <v/>
      </c>
      <c r="S70" s="88"/>
      <c r="V70" s="126"/>
      <c r="W70" s="94" t="s">
        <v>40</v>
      </c>
      <c r="X70" s="127" t="s">
        <v>39</v>
      </c>
    </row>
    <row r="71" spans="4:24" hidden="1">
      <c r="D71" s="131">
        <v>44</v>
      </c>
      <c r="E71" s="132" t="str">
        <f t="shared" si="10"/>
        <v/>
      </c>
      <c r="F71" s="133" t="str">
        <f t="shared" si="16"/>
        <v/>
      </c>
      <c r="G71" s="134">
        <f t="shared" si="11"/>
        <v>0</v>
      </c>
      <c r="H71" s="135"/>
      <c r="I71" s="136" t="str">
        <f t="shared" si="12"/>
        <v/>
      </c>
      <c r="J71" s="135"/>
      <c r="K71" s="135"/>
      <c r="L71" s="134" t="str">
        <f t="shared" si="13"/>
        <v/>
      </c>
      <c r="M71" s="137" t="str">
        <f t="shared" si="14"/>
        <v/>
      </c>
      <c r="N71" s="134">
        <v>0</v>
      </c>
      <c r="O71" s="135" t="str">
        <f t="shared" si="17"/>
        <v/>
      </c>
      <c r="P71" s="138" t="str">
        <f t="shared" si="9"/>
        <v/>
      </c>
      <c r="Q71" s="128" t="str">
        <f t="shared" si="15"/>
        <v/>
      </c>
      <c r="R71" s="128" t="str">
        <f>IF(D71&gt;$G$15,"",IF(G70&gt;0,R70-#REF!,R70))</f>
        <v/>
      </c>
      <c r="S71" s="88"/>
      <c r="V71" s="126"/>
      <c r="W71" s="94" t="s">
        <v>40</v>
      </c>
      <c r="X71" s="127" t="s">
        <v>39</v>
      </c>
    </row>
    <row r="72" spans="4:24" hidden="1">
      <c r="D72" s="131">
        <v>45</v>
      </c>
      <c r="E72" s="132" t="str">
        <f t="shared" si="10"/>
        <v/>
      </c>
      <c r="F72" s="133" t="str">
        <f t="shared" si="16"/>
        <v/>
      </c>
      <c r="G72" s="134">
        <f t="shared" si="11"/>
        <v>0</v>
      </c>
      <c r="H72" s="135"/>
      <c r="I72" s="136" t="str">
        <f t="shared" si="12"/>
        <v/>
      </c>
      <c r="J72" s="135"/>
      <c r="K72" s="135"/>
      <c r="L72" s="134" t="str">
        <f t="shared" si="13"/>
        <v/>
      </c>
      <c r="M72" s="137" t="str">
        <f t="shared" si="14"/>
        <v/>
      </c>
      <c r="N72" s="134">
        <v>0</v>
      </c>
      <c r="O72" s="135" t="str">
        <f t="shared" si="17"/>
        <v/>
      </c>
      <c r="P72" s="138" t="str">
        <f t="shared" si="9"/>
        <v/>
      </c>
      <c r="Q72" s="128" t="str">
        <f t="shared" si="15"/>
        <v/>
      </c>
      <c r="R72" s="128" t="str">
        <f>IF(D72&gt;$G$15,"",IF(G71&gt;0,R71-#REF!,R71))</f>
        <v/>
      </c>
      <c r="S72" s="88"/>
      <c r="V72" s="126"/>
      <c r="W72" s="94" t="s">
        <v>40</v>
      </c>
      <c r="X72" s="127" t="s">
        <v>39</v>
      </c>
    </row>
    <row r="73" spans="4:24" hidden="1">
      <c r="D73" s="131">
        <v>46</v>
      </c>
      <c r="E73" s="132" t="str">
        <f t="shared" si="10"/>
        <v/>
      </c>
      <c r="F73" s="133" t="str">
        <f t="shared" si="16"/>
        <v/>
      </c>
      <c r="G73" s="134">
        <f t="shared" si="11"/>
        <v>0</v>
      </c>
      <c r="H73" s="135"/>
      <c r="I73" s="136" t="str">
        <f t="shared" si="12"/>
        <v/>
      </c>
      <c r="J73" s="135"/>
      <c r="K73" s="135"/>
      <c r="L73" s="134" t="str">
        <f t="shared" si="13"/>
        <v/>
      </c>
      <c r="M73" s="137" t="str">
        <f t="shared" si="14"/>
        <v/>
      </c>
      <c r="N73" s="134">
        <v>0</v>
      </c>
      <c r="O73" s="135" t="str">
        <f t="shared" si="17"/>
        <v/>
      </c>
      <c r="P73" s="138" t="str">
        <f t="shared" si="9"/>
        <v/>
      </c>
      <c r="Q73" s="128" t="str">
        <f t="shared" si="15"/>
        <v/>
      </c>
      <c r="R73" s="128" t="str">
        <f>IF(D73&gt;$G$15,"",IF(G72&gt;0,R72-#REF!,R72))</f>
        <v/>
      </c>
      <c r="S73" s="88"/>
      <c r="V73" s="126"/>
      <c r="W73" s="94" t="s">
        <v>40</v>
      </c>
      <c r="X73" s="127" t="s">
        <v>39</v>
      </c>
    </row>
    <row r="74" spans="4:24" hidden="1">
      <c r="D74" s="131">
        <v>47</v>
      </c>
      <c r="E74" s="132" t="str">
        <f t="shared" si="10"/>
        <v/>
      </c>
      <c r="F74" s="133" t="str">
        <f t="shared" si="16"/>
        <v/>
      </c>
      <c r="G74" s="134">
        <f t="shared" si="11"/>
        <v>0</v>
      </c>
      <c r="H74" s="135"/>
      <c r="I74" s="136" t="str">
        <f t="shared" si="12"/>
        <v/>
      </c>
      <c r="J74" s="135"/>
      <c r="K74" s="135"/>
      <c r="L74" s="134" t="str">
        <f t="shared" si="13"/>
        <v/>
      </c>
      <c r="M74" s="137" t="str">
        <f t="shared" si="14"/>
        <v/>
      </c>
      <c r="N74" s="134">
        <v>0</v>
      </c>
      <c r="O74" s="135" t="str">
        <f t="shared" si="17"/>
        <v/>
      </c>
      <c r="P74" s="138" t="str">
        <f t="shared" si="9"/>
        <v/>
      </c>
      <c r="Q74" s="128" t="str">
        <f t="shared" si="15"/>
        <v/>
      </c>
      <c r="R74" s="128" t="str">
        <f>IF(D74&gt;$G$15,"",IF(G73&gt;0,R73-#REF!,R73))</f>
        <v/>
      </c>
      <c r="S74" s="88"/>
      <c r="V74" s="126"/>
      <c r="W74" s="94" t="s">
        <v>40</v>
      </c>
      <c r="X74" s="127" t="s">
        <v>39</v>
      </c>
    </row>
    <row r="75" spans="4:24" hidden="1">
      <c r="D75" s="131">
        <v>48</v>
      </c>
      <c r="E75" s="132" t="str">
        <f t="shared" si="10"/>
        <v/>
      </c>
      <c r="F75" s="133" t="str">
        <f t="shared" si="16"/>
        <v/>
      </c>
      <c r="G75" s="134">
        <f t="shared" si="11"/>
        <v>0</v>
      </c>
      <c r="H75" s="135"/>
      <c r="I75" s="136" t="str">
        <f t="shared" si="12"/>
        <v/>
      </c>
      <c r="J75" s="135"/>
      <c r="K75" s="135"/>
      <c r="L75" s="134" t="str">
        <f t="shared" si="13"/>
        <v/>
      </c>
      <c r="M75" s="137" t="str">
        <f t="shared" si="14"/>
        <v/>
      </c>
      <c r="N75" s="134">
        <v>0</v>
      </c>
      <c r="O75" s="135" t="str">
        <f t="shared" si="17"/>
        <v/>
      </c>
      <c r="P75" s="138" t="str">
        <f t="shared" si="9"/>
        <v/>
      </c>
      <c r="Q75" s="128" t="str">
        <f t="shared" si="15"/>
        <v/>
      </c>
      <c r="R75" s="128" t="str">
        <f>IF(D75&gt;$G$15,"",IF(G74&gt;0,R74-#REF!,R74))</f>
        <v/>
      </c>
      <c r="S75" s="88"/>
      <c r="T75" s="129"/>
      <c r="V75" s="126"/>
      <c r="W75" s="94" t="s">
        <v>40</v>
      </c>
      <c r="X75" s="127" t="s">
        <v>39</v>
      </c>
    </row>
    <row r="76" spans="4:24" hidden="1">
      <c r="D76" s="131">
        <v>49</v>
      </c>
      <c r="E76" s="132" t="str">
        <f t="shared" si="10"/>
        <v/>
      </c>
      <c r="F76" s="133" t="str">
        <f t="shared" si="16"/>
        <v/>
      </c>
      <c r="G76" s="134">
        <f t="shared" si="11"/>
        <v>0</v>
      </c>
      <c r="H76" s="135"/>
      <c r="I76" s="136" t="str">
        <f t="shared" si="12"/>
        <v/>
      </c>
      <c r="J76" s="135"/>
      <c r="K76" s="135"/>
      <c r="L76" s="134" t="str">
        <f t="shared" si="13"/>
        <v/>
      </c>
      <c r="M76" s="137" t="str">
        <f t="shared" si="14"/>
        <v/>
      </c>
      <c r="N76" s="134">
        <v>0</v>
      </c>
      <c r="O76" s="135" t="str">
        <f t="shared" si="17"/>
        <v/>
      </c>
      <c r="P76" s="138" t="str">
        <f t="shared" si="9"/>
        <v/>
      </c>
      <c r="Q76" s="128" t="str">
        <f t="shared" si="15"/>
        <v/>
      </c>
      <c r="R76" s="128" t="str">
        <f>IF(D76&gt;$G$15,"",IF(G75&gt;0,R75-#REF!,R75))</f>
        <v/>
      </c>
      <c r="S76" s="88"/>
      <c r="V76" s="126"/>
      <c r="W76" s="94" t="s">
        <v>40</v>
      </c>
      <c r="X76" s="127" t="s">
        <v>39</v>
      </c>
    </row>
    <row r="77" spans="4:24" hidden="1">
      <c r="D77" s="131">
        <v>50</v>
      </c>
      <c r="E77" s="132" t="str">
        <f t="shared" si="10"/>
        <v/>
      </c>
      <c r="F77" s="133" t="str">
        <f t="shared" si="16"/>
        <v/>
      </c>
      <c r="G77" s="134">
        <f t="shared" si="11"/>
        <v>0</v>
      </c>
      <c r="H77" s="135"/>
      <c r="I77" s="136" t="str">
        <f t="shared" si="12"/>
        <v/>
      </c>
      <c r="J77" s="135"/>
      <c r="K77" s="135"/>
      <c r="L77" s="134" t="str">
        <f t="shared" si="13"/>
        <v/>
      </c>
      <c r="M77" s="137" t="str">
        <f t="shared" si="14"/>
        <v/>
      </c>
      <c r="N77" s="134">
        <v>0</v>
      </c>
      <c r="O77" s="135" t="str">
        <f t="shared" si="17"/>
        <v/>
      </c>
      <c r="P77" s="138" t="str">
        <f t="shared" si="9"/>
        <v/>
      </c>
      <c r="Q77" s="128" t="str">
        <f t="shared" si="15"/>
        <v/>
      </c>
      <c r="R77" s="128" t="str">
        <f>IF(D77&gt;$G$15,"",IF(G76&gt;0,R76-#REF!,R76))</f>
        <v/>
      </c>
      <c r="S77" s="88"/>
      <c r="V77" s="126"/>
      <c r="W77" s="94" t="s">
        <v>40</v>
      </c>
      <c r="X77" s="127" t="s">
        <v>39</v>
      </c>
    </row>
    <row r="78" spans="4:24" hidden="1">
      <c r="D78" s="131">
        <v>51</v>
      </c>
      <c r="E78" s="132" t="str">
        <f t="shared" si="10"/>
        <v/>
      </c>
      <c r="F78" s="133" t="str">
        <f t="shared" si="16"/>
        <v/>
      </c>
      <c r="G78" s="134">
        <f t="shared" si="11"/>
        <v>0</v>
      </c>
      <c r="H78" s="135"/>
      <c r="I78" s="136" t="str">
        <f t="shared" si="12"/>
        <v/>
      </c>
      <c r="J78" s="135"/>
      <c r="K78" s="135"/>
      <c r="L78" s="134" t="str">
        <f t="shared" si="13"/>
        <v/>
      </c>
      <c r="M78" s="137" t="str">
        <f t="shared" si="14"/>
        <v/>
      </c>
      <c r="N78" s="134">
        <v>0</v>
      </c>
      <c r="O78" s="135" t="str">
        <f t="shared" si="17"/>
        <v/>
      </c>
      <c r="P78" s="138" t="str">
        <f t="shared" si="9"/>
        <v/>
      </c>
      <c r="Q78" s="128" t="str">
        <f t="shared" si="15"/>
        <v/>
      </c>
      <c r="R78" s="128" t="str">
        <f>IF(D78&gt;$G$15,"",IF(G77&gt;0,R77-#REF!,R77))</f>
        <v/>
      </c>
      <c r="S78" s="88"/>
      <c r="V78" s="126"/>
      <c r="W78" s="94" t="s">
        <v>40</v>
      </c>
      <c r="X78" s="127" t="s">
        <v>39</v>
      </c>
    </row>
    <row r="79" spans="4:24" hidden="1">
      <c r="D79" s="131">
        <v>52</v>
      </c>
      <c r="E79" s="132" t="str">
        <f t="shared" si="10"/>
        <v/>
      </c>
      <c r="F79" s="133" t="str">
        <f t="shared" si="16"/>
        <v/>
      </c>
      <c r="G79" s="134">
        <f t="shared" si="11"/>
        <v>0</v>
      </c>
      <c r="H79" s="135"/>
      <c r="I79" s="136" t="str">
        <f t="shared" si="12"/>
        <v/>
      </c>
      <c r="J79" s="135"/>
      <c r="K79" s="135"/>
      <c r="L79" s="134" t="str">
        <f t="shared" si="13"/>
        <v/>
      </c>
      <c r="M79" s="137" t="str">
        <f t="shared" si="14"/>
        <v/>
      </c>
      <c r="N79" s="134">
        <v>0</v>
      </c>
      <c r="O79" s="135" t="str">
        <f t="shared" si="17"/>
        <v/>
      </c>
      <c r="P79" s="138" t="str">
        <f t="shared" si="9"/>
        <v/>
      </c>
      <c r="Q79" s="128" t="str">
        <f t="shared" si="15"/>
        <v/>
      </c>
      <c r="R79" s="128" t="str">
        <f>IF(D79&gt;$G$15,"",IF(G78&gt;0,R78-#REF!,R78))</f>
        <v/>
      </c>
      <c r="S79" s="88"/>
      <c r="V79" s="126"/>
      <c r="W79" s="94" t="s">
        <v>40</v>
      </c>
      <c r="X79" s="127" t="s">
        <v>39</v>
      </c>
    </row>
    <row r="80" spans="4:24" hidden="1">
      <c r="D80" s="131">
        <v>53</v>
      </c>
      <c r="E80" s="132" t="str">
        <f t="shared" si="10"/>
        <v/>
      </c>
      <c r="F80" s="133" t="str">
        <f t="shared" si="16"/>
        <v/>
      </c>
      <c r="G80" s="134">
        <f t="shared" si="11"/>
        <v>0</v>
      </c>
      <c r="H80" s="135"/>
      <c r="I80" s="136" t="str">
        <f t="shared" si="12"/>
        <v/>
      </c>
      <c r="J80" s="135"/>
      <c r="K80" s="135"/>
      <c r="L80" s="134" t="str">
        <f t="shared" si="13"/>
        <v/>
      </c>
      <c r="M80" s="137" t="str">
        <f t="shared" si="14"/>
        <v/>
      </c>
      <c r="N80" s="134">
        <v>0</v>
      </c>
      <c r="O80" s="135" t="str">
        <f t="shared" si="17"/>
        <v/>
      </c>
      <c r="P80" s="138" t="str">
        <f t="shared" si="9"/>
        <v/>
      </c>
      <c r="Q80" s="128" t="str">
        <f t="shared" si="15"/>
        <v/>
      </c>
      <c r="R80" s="128" t="str">
        <f>IF(D80&gt;$G$15,"",IF(G79&gt;0,R79-#REF!,R79))</f>
        <v/>
      </c>
      <c r="S80" s="88"/>
      <c r="V80" s="126"/>
      <c r="W80" s="94" t="s">
        <v>40</v>
      </c>
      <c r="X80" s="127" t="s">
        <v>39</v>
      </c>
    </row>
    <row r="81" spans="4:24" hidden="1">
      <c r="D81" s="131">
        <v>54</v>
      </c>
      <c r="E81" s="132" t="str">
        <f t="shared" si="10"/>
        <v/>
      </c>
      <c r="F81" s="133" t="str">
        <f t="shared" si="16"/>
        <v/>
      </c>
      <c r="G81" s="134">
        <f t="shared" si="11"/>
        <v>0</v>
      </c>
      <c r="H81" s="135"/>
      <c r="I81" s="136" t="str">
        <f t="shared" si="12"/>
        <v/>
      </c>
      <c r="J81" s="135"/>
      <c r="K81" s="135"/>
      <c r="L81" s="134" t="str">
        <f t="shared" si="13"/>
        <v/>
      </c>
      <c r="M81" s="137" t="str">
        <f t="shared" si="14"/>
        <v/>
      </c>
      <c r="N81" s="134">
        <v>0</v>
      </c>
      <c r="O81" s="135" t="str">
        <f t="shared" si="17"/>
        <v/>
      </c>
      <c r="P81" s="138" t="str">
        <f t="shared" si="9"/>
        <v/>
      </c>
      <c r="Q81" s="128" t="str">
        <f t="shared" si="15"/>
        <v/>
      </c>
      <c r="R81" s="128" t="str">
        <f>IF(D81&gt;$G$15,"",IF(G80&gt;0,R80-#REF!,R80))</f>
        <v/>
      </c>
      <c r="S81" s="88"/>
      <c r="V81" s="126"/>
      <c r="W81" s="94" t="s">
        <v>40</v>
      </c>
      <c r="X81" s="127" t="s">
        <v>39</v>
      </c>
    </row>
    <row r="82" spans="4:24" hidden="1">
      <c r="D82" s="131">
        <v>55</v>
      </c>
      <c r="E82" s="132" t="str">
        <f t="shared" si="10"/>
        <v/>
      </c>
      <c r="F82" s="133" t="str">
        <f t="shared" si="16"/>
        <v/>
      </c>
      <c r="G82" s="134">
        <f t="shared" si="11"/>
        <v>0</v>
      </c>
      <c r="H82" s="135"/>
      <c r="I82" s="136" t="str">
        <f t="shared" si="12"/>
        <v/>
      </c>
      <c r="J82" s="135"/>
      <c r="K82" s="135"/>
      <c r="L82" s="134" t="str">
        <f t="shared" si="13"/>
        <v/>
      </c>
      <c r="M82" s="137" t="str">
        <f t="shared" si="14"/>
        <v/>
      </c>
      <c r="N82" s="134">
        <v>0</v>
      </c>
      <c r="O82" s="135" t="str">
        <f t="shared" si="17"/>
        <v/>
      </c>
      <c r="P82" s="138" t="str">
        <f t="shared" si="9"/>
        <v/>
      </c>
      <c r="Q82" s="128" t="str">
        <f t="shared" si="15"/>
        <v/>
      </c>
      <c r="R82" s="128" t="str">
        <f>IF(D82&gt;$G$15,"",IF(G81&gt;0,R81-#REF!,R81))</f>
        <v/>
      </c>
      <c r="S82" s="88"/>
      <c r="V82" s="126"/>
      <c r="W82" s="94" t="s">
        <v>40</v>
      </c>
      <c r="X82" s="127" t="s">
        <v>39</v>
      </c>
    </row>
    <row r="83" spans="4:24" hidden="1">
      <c r="D83" s="131">
        <v>56</v>
      </c>
      <c r="E83" s="132" t="str">
        <f t="shared" si="10"/>
        <v/>
      </c>
      <c r="F83" s="133" t="str">
        <f t="shared" si="16"/>
        <v/>
      </c>
      <c r="G83" s="134">
        <f t="shared" si="11"/>
        <v>0</v>
      </c>
      <c r="H83" s="135"/>
      <c r="I83" s="136" t="str">
        <f t="shared" si="12"/>
        <v/>
      </c>
      <c r="J83" s="135"/>
      <c r="K83" s="135"/>
      <c r="L83" s="134" t="str">
        <f t="shared" si="13"/>
        <v/>
      </c>
      <c r="M83" s="137" t="str">
        <f t="shared" si="14"/>
        <v/>
      </c>
      <c r="N83" s="134">
        <v>0</v>
      </c>
      <c r="O83" s="135" t="str">
        <f t="shared" si="17"/>
        <v/>
      </c>
      <c r="P83" s="138" t="str">
        <f t="shared" si="9"/>
        <v/>
      </c>
      <c r="Q83" s="128" t="str">
        <f t="shared" si="15"/>
        <v/>
      </c>
      <c r="R83" s="128" t="str">
        <f>IF(D83&gt;$G$15,"",IF(G82&gt;0,R82-#REF!,R82))</f>
        <v/>
      </c>
      <c r="S83" s="88"/>
      <c r="V83" s="126"/>
      <c r="W83" s="94" t="s">
        <v>40</v>
      </c>
      <c r="X83" s="127" t="s">
        <v>39</v>
      </c>
    </row>
    <row r="84" spans="4:24" hidden="1">
      <c r="D84" s="131">
        <v>57</v>
      </c>
      <c r="E84" s="132" t="str">
        <f t="shared" si="10"/>
        <v/>
      </c>
      <c r="F84" s="133" t="str">
        <f t="shared" si="16"/>
        <v/>
      </c>
      <c r="G84" s="134">
        <f t="shared" si="11"/>
        <v>0</v>
      </c>
      <c r="H84" s="135"/>
      <c r="I84" s="136" t="str">
        <f t="shared" si="12"/>
        <v/>
      </c>
      <c r="J84" s="135"/>
      <c r="K84" s="135"/>
      <c r="L84" s="134" t="str">
        <f t="shared" si="13"/>
        <v/>
      </c>
      <c r="M84" s="137" t="str">
        <f t="shared" si="14"/>
        <v/>
      </c>
      <c r="N84" s="134">
        <v>0</v>
      </c>
      <c r="O84" s="135" t="str">
        <f t="shared" si="17"/>
        <v/>
      </c>
      <c r="P84" s="138" t="str">
        <f t="shared" si="9"/>
        <v/>
      </c>
      <c r="Q84" s="128" t="str">
        <f t="shared" si="15"/>
        <v/>
      </c>
      <c r="R84" s="128" t="str">
        <f>IF(D84&gt;$G$15,"",IF(G83&gt;0,R83-#REF!,R83))</f>
        <v/>
      </c>
      <c r="S84" s="88"/>
      <c r="V84" s="126"/>
      <c r="W84" s="94" t="s">
        <v>40</v>
      </c>
      <c r="X84" s="127" t="s">
        <v>39</v>
      </c>
    </row>
    <row r="85" spans="4:24" hidden="1">
      <c r="D85" s="131">
        <v>58</v>
      </c>
      <c r="E85" s="132" t="str">
        <f t="shared" si="10"/>
        <v/>
      </c>
      <c r="F85" s="133" t="str">
        <f t="shared" si="16"/>
        <v/>
      </c>
      <c r="G85" s="134">
        <f t="shared" si="11"/>
        <v>0</v>
      </c>
      <c r="H85" s="135"/>
      <c r="I85" s="136" t="str">
        <f t="shared" si="12"/>
        <v/>
      </c>
      <c r="J85" s="135"/>
      <c r="K85" s="135"/>
      <c r="L85" s="134" t="str">
        <f t="shared" si="13"/>
        <v/>
      </c>
      <c r="M85" s="137" t="str">
        <f t="shared" si="14"/>
        <v/>
      </c>
      <c r="N85" s="134">
        <v>0</v>
      </c>
      <c r="O85" s="135" t="str">
        <f t="shared" si="17"/>
        <v/>
      </c>
      <c r="P85" s="138" t="str">
        <f t="shared" si="9"/>
        <v/>
      </c>
      <c r="Q85" s="128" t="str">
        <f t="shared" si="15"/>
        <v/>
      </c>
      <c r="R85" s="128" t="str">
        <f>IF(D85&gt;$G$15,"",IF(G84&gt;0,R84-#REF!,R84))</f>
        <v/>
      </c>
      <c r="S85" s="88"/>
      <c r="V85" s="126"/>
      <c r="W85" s="94" t="s">
        <v>40</v>
      </c>
      <c r="X85" s="127" t="s">
        <v>39</v>
      </c>
    </row>
    <row r="86" spans="4:24" hidden="1">
      <c r="D86" s="131">
        <v>59</v>
      </c>
      <c r="E86" s="132" t="str">
        <f t="shared" si="10"/>
        <v/>
      </c>
      <c r="F86" s="133" t="str">
        <f t="shared" si="16"/>
        <v/>
      </c>
      <c r="G86" s="134">
        <f t="shared" si="11"/>
        <v>0</v>
      </c>
      <c r="H86" s="135"/>
      <c r="I86" s="136" t="str">
        <f t="shared" si="12"/>
        <v/>
      </c>
      <c r="J86" s="135"/>
      <c r="K86" s="135"/>
      <c r="L86" s="134" t="str">
        <f t="shared" si="13"/>
        <v/>
      </c>
      <c r="M86" s="137" t="str">
        <f t="shared" si="14"/>
        <v/>
      </c>
      <c r="N86" s="134">
        <v>0</v>
      </c>
      <c r="O86" s="135" t="str">
        <f t="shared" si="17"/>
        <v/>
      </c>
      <c r="P86" s="138" t="str">
        <f t="shared" si="9"/>
        <v/>
      </c>
      <c r="Q86" s="128" t="str">
        <f t="shared" si="15"/>
        <v/>
      </c>
      <c r="R86" s="128" t="str">
        <f>IF(D86&gt;$G$15,"",IF(G85&gt;0,R85-#REF!,R85))</f>
        <v/>
      </c>
      <c r="S86" s="88"/>
      <c r="V86" s="126"/>
      <c r="W86" s="94" t="s">
        <v>40</v>
      </c>
      <c r="X86" s="127" t="s">
        <v>39</v>
      </c>
    </row>
    <row r="87" spans="4:24" hidden="1">
      <c r="D87" s="131">
        <v>60</v>
      </c>
      <c r="E87" s="132" t="str">
        <f t="shared" si="10"/>
        <v/>
      </c>
      <c r="F87" s="133" t="str">
        <f t="shared" si="16"/>
        <v/>
      </c>
      <c r="G87" s="134">
        <f t="shared" si="11"/>
        <v>0</v>
      </c>
      <c r="H87" s="135"/>
      <c r="I87" s="136" t="str">
        <f t="shared" si="12"/>
        <v/>
      </c>
      <c r="J87" s="135"/>
      <c r="K87" s="135"/>
      <c r="L87" s="134" t="str">
        <f t="shared" si="13"/>
        <v/>
      </c>
      <c r="M87" s="137" t="str">
        <f t="shared" si="14"/>
        <v/>
      </c>
      <c r="N87" s="134">
        <v>0</v>
      </c>
      <c r="O87" s="135" t="str">
        <f t="shared" si="17"/>
        <v/>
      </c>
      <c r="P87" s="138" t="str">
        <f t="shared" si="9"/>
        <v/>
      </c>
      <c r="Q87" s="128" t="str">
        <f t="shared" si="15"/>
        <v/>
      </c>
      <c r="R87" s="128" t="str">
        <f>IF(D87&gt;$G$15,"",IF(G86&gt;0,R86-#REF!,R86))</f>
        <v/>
      </c>
      <c r="S87" s="88"/>
      <c r="V87" s="126"/>
      <c r="W87" s="94" t="s">
        <v>40</v>
      </c>
      <c r="X87" s="127" t="s">
        <v>39</v>
      </c>
    </row>
    <row r="88" spans="4:24" hidden="1">
      <c r="D88" s="131">
        <v>61</v>
      </c>
      <c r="E88" s="132" t="str">
        <f t="shared" si="10"/>
        <v/>
      </c>
      <c r="F88" s="133" t="str">
        <f t="shared" si="16"/>
        <v/>
      </c>
      <c r="G88" s="134">
        <f t="shared" si="11"/>
        <v>0</v>
      </c>
      <c r="H88" s="135"/>
      <c r="I88" s="136" t="str">
        <f t="shared" si="12"/>
        <v/>
      </c>
      <c r="J88" s="135"/>
      <c r="K88" s="135"/>
      <c r="L88" s="134" t="str">
        <f t="shared" si="13"/>
        <v/>
      </c>
      <c r="M88" s="137" t="str">
        <f t="shared" si="14"/>
        <v/>
      </c>
      <c r="N88" s="134">
        <v>0</v>
      </c>
      <c r="O88" s="135" t="str">
        <f t="shared" si="17"/>
        <v/>
      </c>
      <c r="P88" s="138" t="str">
        <f t="shared" si="9"/>
        <v/>
      </c>
      <c r="Q88" s="128" t="str">
        <f t="shared" si="15"/>
        <v/>
      </c>
      <c r="R88" s="128" t="str">
        <f>IF(D88&gt;$G$15,"",IF(G87&gt;0,R87-#REF!,R87))</f>
        <v/>
      </c>
      <c r="S88" s="88"/>
      <c r="V88" s="126"/>
      <c r="W88" s="94"/>
      <c r="X88" s="127"/>
    </row>
    <row r="89" spans="4:24" hidden="1">
      <c r="D89" s="131">
        <v>62</v>
      </c>
      <c r="E89" s="132" t="str">
        <f t="shared" si="10"/>
        <v/>
      </c>
      <c r="F89" s="133" t="str">
        <f t="shared" si="16"/>
        <v/>
      </c>
      <c r="G89" s="134">
        <f t="shared" si="11"/>
        <v>0</v>
      </c>
      <c r="H89" s="135"/>
      <c r="I89" s="136" t="str">
        <f t="shared" si="12"/>
        <v/>
      </c>
      <c r="J89" s="135"/>
      <c r="K89" s="135"/>
      <c r="L89" s="134" t="str">
        <f t="shared" si="13"/>
        <v/>
      </c>
      <c r="M89" s="137" t="str">
        <f t="shared" si="14"/>
        <v/>
      </c>
      <c r="N89" s="134">
        <v>0</v>
      </c>
      <c r="O89" s="135" t="str">
        <f t="shared" si="17"/>
        <v/>
      </c>
      <c r="P89" s="138" t="str">
        <f t="shared" si="9"/>
        <v/>
      </c>
      <c r="Q89" s="128" t="str">
        <f t="shared" si="15"/>
        <v/>
      </c>
      <c r="R89" s="128" t="str">
        <f>IF(D89&gt;$G$15,"",IF(G88&gt;0,R88-#REF!,R88))</f>
        <v/>
      </c>
      <c r="S89" s="88"/>
      <c r="V89" s="126"/>
      <c r="W89" s="94"/>
      <c r="X89" s="127"/>
    </row>
    <row r="90" spans="4:24" hidden="1">
      <c r="D90" s="131">
        <v>63</v>
      </c>
      <c r="E90" s="132" t="str">
        <f t="shared" si="10"/>
        <v/>
      </c>
      <c r="F90" s="133" t="str">
        <f t="shared" si="16"/>
        <v/>
      </c>
      <c r="G90" s="134">
        <f t="shared" si="11"/>
        <v>0</v>
      </c>
      <c r="H90" s="135"/>
      <c r="I90" s="136" t="str">
        <f t="shared" si="12"/>
        <v/>
      </c>
      <c r="J90" s="135"/>
      <c r="K90" s="135"/>
      <c r="L90" s="134" t="str">
        <f t="shared" si="13"/>
        <v/>
      </c>
      <c r="M90" s="137" t="str">
        <f t="shared" si="14"/>
        <v/>
      </c>
      <c r="N90" s="134">
        <v>0</v>
      </c>
      <c r="O90" s="135" t="str">
        <f t="shared" si="17"/>
        <v/>
      </c>
      <c r="P90" s="138" t="str">
        <f t="shared" si="9"/>
        <v/>
      </c>
      <c r="Q90" s="128" t="str">
        <f t="shared" si="15"/>
        <v/>
      </c>
      <c r="R90" s="128" t="str">
        <f>IF(D90&gt;$G$15,"",IF(G89&gt;0,R89-#REF!,R89))</f>
        <v/>
      </c>
      <c r="S90" s="88"/>
      <c r="V90" s="126"/>
      <c r="W90" s="94"/>
      <c r="X90" s="127"/>
    </row>
    <row r="91" spans="4:24" hidden="1">
      <c r="D91" s="131">
        <v>64</v>
      </c>
      <c r="E91" s="132" t="str">
        <f t="shared" si="10"/>
        <v/>
      </c>
      <c r="F91" s="133" t="str">
        <f t="shared" si="16"/>
        <v/>
      </c>
      <c r="G91" s="134">
        <f t="shared" si="11"/>
        <v>0</v>
      </c>
      <c r="H91" s="135"/>
      <c r="I91" s="136" t="str">
        <f t="shared" si="12"/>
        <v/>
      </c>
      <c r="J91" s="135"/>
      <c r="K91" s="135"/>
      <c r="L91" s="134" t="str">
        <f t="shared" si="13"/>
        <v/>
      </c>
      <c r="M91" s="137" t="str">
        <f t="shared" si="14"/>
        <v/>
      </c>
      <c r="N91" s="134">
        <v>0</v>
      </c>
      <c r="O91" s="135" t="str">
        <f t="shared" si="17"/>
        <v/>
      </c>
      <c r="P91" s="138" t="str">
        <f t="shared" si="9"/>
        <v/>
      </c>
      <c r="Q91" s="128" t="str">
        <f t="shared" si="15"/>
        <v/>
      </c>
      <c r="R91" s="128" t="str">
        <f>IF(D91&gt;$G$15,"",IF(G90&gt;0,R90-#REF!,R90))</f>
        <v/>
      </c>
      <c r="S91" s="88"/>
      <c r="V91" s="126"/>
      <c r="W91" s="94"/>
      <c r="X91" s="127"/>
    </row>
    <row r="92" spans="4:24" hidden="1">
      <c r="D92" s="131">
        <v>65</v>
      </c>
      <c r="E92" s="132" t="str">
        <f t="shared" si="10"/>
        <v/>
      </c>
      <c r="F92" s="133" t="str">
        <f t="shared" si="16"/>
        <v/>
      </c>
      <c r="G92" s="134">
        <f t="shared" si="11"/>
        <v>0</v>
      </c>
      <c r="H92" s="135"/>
      <c r="I92" s="136" t="str">
        <f t="shared" si="12"/>
        <v/>
      </c>
      <c r="J92" s="135"/>
      <c r="K92" s="135"/>
      <c r="L92" s="134" t="str">
        <f t="shared" si="13"/>
        <v/>
      </c>
      <c r="M92" s="137" t="str">
        <f t="shared" si="14"/>
        <v/>
      </c>
      <c r="N92" s="134">
        <v>0</v>
      </c>
      <c r="O92" s="135" t="str">
        <f t="shared" si="17"/>
        <v/>
      </c>
      <c r="P92" s="138" t="str">
        <f t="shared" ref="P92:P97" si="18">IF(D92&gt;$G$15,"",IF(F92&gt;30,G92+I92+L92,G92+L92+I92))</f>
        <v/>
      </c>
      <c r="Q92" s="128" t="str">
        <f t="shared" si="15"/>
        <v/>
      </c>
      <c r="R92" s="128" t="str">
        <f>IF(D92&gt;$G$15,"",IF(G91&gt;0,R91-#REF!,R91))</f>
        <v/>
      </c>
      <c r="S92" s="88"/>
      <c r="V92" s="126"/>
      <c r="W92" s="94"/>
      <c r="X92" s="127"/>
    </row>
    <row r="93" spans="4:24" hidden="1">
      <c r="D93" s="131">
        <v>66</v>
      </c>
      <c r="E93" s="132" t="str">
        <f t="shared" ref="E93:E97" si="19">+IF(D93&gt;$G$15,"",EDATE(E92,1))</f>
        <v/>
      </c>
      <c r="F93" s="133" t="str">
        <f t="shared" si="16"/>
        <v/>
      </c>
      <c r="G93" s="134">
        <f t="shared" ref="G93:G97" si="20">IF(D93=$G$15,Q93,IF(F93&gt;30,H93,O93-(I93+L93)))</f>
        <v>0</v>
      </c>
      <c r="H93" s="135"/>
      <c r="I93" s="136" t="str">
        <f t="shared" si="12"/>
        <v/>
      </c>
      <c r="J93" s="135"/>
      <c r="K93" s="135"/>
      <c r="L93" s="134" t="str">
        <f t="shared" si="13"/>
        <v/>
      </c>
      <c r="M93" s="137" t="str">
        <f t="shared" si="14"/>
        <v/>
      </c>
      <c r="N93" s="134">
        <v>0</v>
      </c>
      <c r="O93" s="135" t="str">
        <f t="shared" si="17"/>
        <v/>
      </c>
      <c r="P93" s="138" t="str">
        <f t="shared" si="18"/>
        <v/>
      </c>
      <c r="Q93" s="128" t="str">
        <f t="shared" si="15"/>
        <v/>
      </c>
      <c r="R93" s="128" t="str">
        <f>IF(D93&gt;$G$15,"",IF(G92&gt;0,R92-#REF!,R92))</f>
        <v/>
      </c>
      <c r="S93" s="88"/>
      <c r="V93" s="126"/>
      <c r="W93" s="94"/>
      <c r="X93" s="127"/>
    </row>
    <row r="94" spans="4:24" hidden="1">
      <c r="D94" s="131">
        <v>67</v>
      </c>
      <c r="E94" s="132" t="str">
        <f t="shared" si="19"/>
        <v/>
      </c>
      <c r="F94" s="133" t="str">
        <f t="shared" si="16"/>
        <v/>
      </c>
      <c r="G94" s="134">
        <f t="shared" si="20"/>
        <v>0</v>
      </c>
      <c r="H94" s="135"/>
      <c r="I94" s="136" t="str">
        <f t="shared" si="12"/>
        <v/>
      </c>
      <c r="J94" s="135"/>
      <c r="K94" s="135"/>
      <c r="L94" s="134" t="str">
        <f t="shared" si="13"/>
        <v/>
      </c>
      <c r="M94" s="137" t="str">
        <f t="shared" si="14"/>
        <v/>
      </c>
      <c r="N94" s="134">
        <v>0</v>
      </c>
      <c r="O94" s="135" t="str">
        <f t="shared" si="17"/>
        <v/>
      </c>
      <c r="P94" s="138" t="str">
        <f t="shared" si="18"/>
        <v/>
      </c>
      <c r="Q94" s="128" t="str">
        <f t="shared" si="15"/>
        <v/>
      </c>
      <c r="R94" s="128" t="str">
        <f>IF(D94&gt;$G$15,"",IF(G93&gt;0,R93-#REF!,R93))</f>
        <v/>
      </c>
      <c r="S94" s="88"/>
      <c r="V94" s="126"/>
      <c r="W94" s="94"/>
      <c r="X94" s="127"/>
    </row>
    <row r="95" spans="4:24" hidden="1">
      <c r="D95" s="131">
        <v>68</v>
      </c>
      <c r="E95" s="132" t="str">
        <f t="shared" si="19"/>
        <v/>
      </c>
      <c r="F95" s="133" t="str">
        <f t="shared" si="16"/>
        <v/>
      </c>
      <c r="G95" s="134">
        <f t="shared" si="20"/>
        <v>0</v>
      </c>
      <c r="H95" s="135"/>
      <c r="I95" s="136" t="str">
        <f t="shared" si="12"/>
        <v/>
      </c>
      <c r="J95" s="135"/>
      <c r="K95" s="135"/>
      <c r="L95" s="134" t="str">
        <f t="shared" si="13"/>
        <v/>
      </c>
      <c r="M95" s="137" t="str">
        <f t="shared" si="14"/>
        <v/>
      </c>
      <c r="N95" s="134">
        <v>0</v>
      </c>
      <c r="O95" s="135" t="str">
        <f t="shared" si="17"/>
        <v/>
      </c>
      <c r="P95" s="138" t="str">
        <f t="shared" si="18"/>
        <v/>
      </c>
      <c r="Q95" s="128" t="str">
        <f t="shared" si="15"/>
        <v/>
      </c>
      <c r="R95" s="128" t="str">
        <f>IF(D95&gt;$G$15,"",IF(G94&gt;0,R94-#REF!,R94))</f>
        <v/>
      </c>
      <c r="S95" s="88"/>
      <c r="V95" s="126"/>
      <c r="W95" s="94"/>
      <c r="X95" s="127"/>
    </row>
    <row r="96" spans="4:24" hidden="1">
      <c r="D96" s="131">
        <v>69</v>
      </c>
      <c r="E96" s="132" t="str">
        <f t="shared" si="19"/>
        <v/>
      </c>
      <c r="F96" s="133" t="str">
        <f t="shared" si="16"/>
        <v/>
      </c>
      <c r="G96" s="134">
        <f t="shared" si="20"/>
        <v>0</v>
      </c>
      <c r="H96" s="135"/>
      <c r="I96" s="136" t="str">
        <f t="shared" si="12"/>
        <v/>
      </c>
      <c r="J96" s="135"/>
      <c r="K96" s="135"/>
      <c r="L96" s="134" t="str">
        <f t="shared" si="13"/>
        <v/>
      </c>
      <c r="M96" s="137" t="str">
        <f t="shared" si="14"/>
        <v/>
      </c>
      <c r="N96" s="134">
        <v>0</v>
      </c>
      <c r="O96" s="135" t="str">
        <f t="shared" si="17"/>
        <v/>
      </c>
      <c r="P96" s="138" t="str">
        <f t="shared" si="18"/>
        <v/>
      </c>
      <c r="Q96" s="128" t="str">
        <f t="shared" si="15"/>
        <v/>
      </c>
      <c r="R96" s="128" t="str">
        <f>IF(D96&gt;$G$15,"",IF(G95&gt;0,R95-#REF!,R95))</f>
        <v/>
      </c>
      <c r="S96" s="88"/>
      <c r="V96" s="126"/>
      <c r="W96" s="94"/>
      <c r="X96" s="127"/>
    </row>
    <row r="97" spans="4:24" hidden="1">
      <c r="D97" s="131">
        <v>70</v>
      </c>
      <c r="E97" s="132" t="str">
        <f t="shared" si="19"/>
        <v/>
      </c>
      <c r="F97" s="133" t="str">
        <f t="shared" si="16"/>
        <v/>
      </c>
      <c r="G97" s="134">
        <f t="shared" si="20"/>
        <v>0</v>
      </c>
      <c r="H97" s="135"/>
      <c r="I97" s="136" t="str">
        <f t="shared" si="12"/>
        <v/>
      </c>
      <c r="J97" s="135"/>
      <c r="K97" s="135"/>
      <c r="L97" s="134" t="str">
        <f t="shared" si="13"/>
        <v/>
      </c>
      <c r="M97" s="137" t="str">
        <f t="shared" si="14"/>
        <v/>
      </c>
      <c r="N97" s="134">
        <v>0</v>
      </c>
      <c r="O97" s="135" t="str">
        <f t="shared" si="17"/>
        <v/>
      </c>
      <c r="P97" s="138" t="str">
        <f t="shared" si="18"/>
        <v/>
      </c>
      <c r="Q97" s="128" t="str">
        <f t="shared" si="15"/>
        <v/>
      </c>
      <c r="R97" s="128" t="str">
        <f>IF(D97&gt;$G$15,"",IF(G96&gt;0,R96-#REF!,R96))</f>
        <v/>
      </c>
      <c r="S97" s="88"/>
      <c r="V97" s="126"/>
      <c r="W97" s="94"/>
      <c r="X97" s="127"/>
    </row>
    <row r="98" spans="4:24" ht="18.75" hidden="1" thickBot="1">
      <c r="D98" s="74"/>
      <c r="E98" s="75" t="s">
        <v>23</v>
      </c>
      <c r="F98" s="76"/>
      <c r="G98" s="77">
        <f>+SUM(G28:G97)</f>
        <v>1599999.9999999993</v>
      </c>
      <c r="H98" s="77"/>
      <c r="I98" s="77">
        <f>+SUM(I28:I97)</f>
        <v>698738.23412243277</v>
      </c>
      <c r="J98" s="77"/>
      <c r="K98" s="77"/>
      <c r="L98" s="77">
        <f>+SUM(L28:L97)</f>
        <v>104497</v>
      </c>
      <c r="M98" s="77" t="e">
        <f t="shared" ref="M98:P98" si="21">+SUM(M28:M97)</f>
        <v>#REF!</v>
      </c>
      <c r="N98" s="77">
        <f t="shared" si="21"/>
        <v>0</v>
      </c>
      <c r="O98" s="77">
        <f t="shared" si="21"/>
        <v>2432054.2831901307</v>
      </c>
      <c r="P98" s="78">
        <f t="shared" si="21"/>
        <v>2403235.2341224314</v>
      </c>
      <c r="Q98" s="128"/>
      <c r="R98" s="128"/>
      <c r="S98" s="123"/>
    </row>
    <row r="99" spans="4:24" ht="18" customHeight="1" thickBot="1">
      <c r="D99" s="139"/>
      <c r="G99" s="117"/>
      <c r="H99" s="123"/>
      <c r="I99" s="129"/>
      <c r="L99" s="129"/>
      <c r="M99" s="129" t="e">
        <f>M98/G15</f>
        <v>#REF!</v>
      </c>
      <c r="P99" s="129"/>
      <c r="S99" s="123"/>
    </row>
    <row r="100" spans="4:24">
      <c r="D100" s="170" t="s">
        <v>71</v>
      </c>
      <c r="E100" s="171"/>
      <c r="F100" s="171"/>
      <c r="G100" s="171"/>
      <c r="H100" s="171"/>
      <c r="I100" s="171"/>
      <c r="J100" s="171"/>
      <c r="K100" s="171"/>
      <c r="L100" s="171"/>
      <c r="M100" s="171"/>
      <c r="N100" s="171"/>
      <c r="O100" s="171"/>
      <c r="P100" s="172"/>
    </row>
    <row r="101" spans="4:24">
      <c r="D101" s="173"/>
      <c r="E101" s="174"/>
      <c r="F101" s="174"/>
      <c r="G101" s="174"/>
      <c r="H101" s="174"/>
      <c r="I101" s="174"/>
      <c r="J101" s="174"/>
      <c r="K101" s="174"/>
      <c r="L101" s="174"/>
      <c r="M101" s="174"/>
      <c r="N101" s="174"/>
      <c r="O101" s="174"/>
      <c r="P101" s="175"/>
    </row>
    <row r="102" spans="4:24">
      <c r="D102" s="173"/>
      <c r="E102" s="174"/>
      <c r="F102" s="174"/>
      <c r="G102" s="174"/>
      <c r="H102" s="174"/>
      <c r="I102" s="174"/>
      <c r="J102" s="174"/>
      <c r="K102" s="174"/>
      <c r="L102" s="174"/>
      <c r="M102" s="174"/>
      <c r="N102" s="174"/>
      <c r="O102" s="174"/>
      <c r="P102" s="175"/>
    </row>
    <row r="103" spans="4:24">
      <c r="D103" s="173"/>
      <c r="E103" s="174"/>
      <c r="F103" s="174"/>
      <c r="G103" s="174"/>
      <c r="H103" s="174"/>
      <c r="I103" s="174"/>
      <c r="J103" s="174"/>
      <c r="K103" s="174"/>
      <c r="L103" s="174"/>
      <c r="M103" s="174"/>
      <c r="N103" s="174"/>
      <c r="O103" s="174"/>
      <c r="P103" s="175"/>
    </row>
    <row r="104" spans="4:24">
      <c r="D104" s="173"/>
      <c r="E104" s="174"/>
      <c r="F104" s="174"/>
      <c r="G104" s="174"/>
      <c r="H104" s="174"/>
      <c r="I104" s="174"/>
      <c r="J104" s="174"/>
      <c r="K104" s="174"/>
      <c r="L104" s="174"/>
      <c r="M104" s="174"/>
      <c r="N104" s="174"/>
      <c r="O104" s="174"/>
      <c r="P104" s="175"/>
    </row>
    <row r="105" spans="4:24">
      <c r="D105" s="173"/>
      <c r="E105" s="174"/>
      <c r="F105" s="174"/>
      <c r="G105" s="174"/>
      <c r="H105" s="174"/>
      <c r="I105" s="174"/>
      <c r="J105" s="174"/>
      <c r="K105" s="174"/>
      <c r="L105" s="174"/>
      <c r="M105" s="174"/>
      <c r="N105" s="174"/>
      <c r="O105" s="174"/>
      <c r="P105" s="175"/>
    </row>
    <row r="106" spans="4:24">
      <c r="D106" s="173"/>
      <c r="E106" s="174"/>
      <c r="F106" s="174"/>
      <c r="G106" s="174"/>
      <c r="H106" s="174"/>
      <c r="I106" s="174"/>
      <c r="J106" s="174"/>
      <c r="K106" s="174"/>
      <c r="L106" s="174"/>
      <c r="M106" s="174"/>
      <c r="N106" s="174"/>
      <c r="O106" s="174"/>
      <c r="P106" s="175"/>
    </row>
    <row r="107" spans="4:24">
      <c r="D107" s="173"/>
      <c r="E107" s="174"/>
      <c r="F107" s="174"/>
      <c r="G107" s="174"/>
      <c r="H107" s="174"/>
      <c r="I107" s="174"/>
      <c r="J107" s="174"/>
      <c r="K107" s="174"/>
      <c r="L107" s="174"/>
      <c r="M107" s="174"/>
      <c r="N107" s="174"/>
      <c r="O107" s="174"/>
      <c r="P107" s="175"/>
    </row>
    <row r="108" spans="4:24">
      <c r="D108" s="173"/>
      <c r="E108" s="174"/>
      <c r="F108" s="174"/>
      <c r="G108" s="174"/>
      <c r="H108" s="174"/>
      <c r="I108" s="174"/>
      <c r="J108" s="174"/>
      <c r="K108" s="174"/>
      <c r="L108" s="174"/>
      <c r="M108" s="174"/>
      <c r="N108" s="174"/>
      <c r="O108" s="174"/>
      <c r="P108" s="175"/>
    </row>
    <row r="109" spans="4:24" ht="48" customHeight="1" thickBot="1">
      <c r="D109" s="176"/>
      <c r="E109" s="177"/>
      <c r="F109" s="177"/>
      <c r="G109" s="177"/>
      <c r="H109" s="177"/>
      <c r="I109" s="177"/>
      <c r="J109" s="177"/>
      <c r="K109" s="177"/>
      <c r="L109" s="177"/>
      <c r="M109" s="177"/>
      <c r="N109" s="177"/>
      <c r="O109" s="177"/>
      <c r="P109" s="178"/>
    </row>
    <row r="110" spans="4:24" hidden="1"/>
    <row r="111" spans="4:24" hidden="1"/>
  </sheetData>
  <sheetProtection algorithmName="SHA-512" hashValue="ZESleVECuA98net+utYETqXauBGutY8iO2GeU/vprWoTVJy0rIsr153iRwoyQ795uA84pR/Zv39hD9o11NrxSg==" saltValue="9Q01DrQDMGczAl4aB6hYvQ==" spinCount="100000" sheet="1" objects="1" scenarios="1"/>
  <mergeCells count="19">
    <mergeCell ref="D100:P109"/>
    <mergeCell ref="D16:E16"/>
    <mergeCell ref="D19:E19"/>
    <mergeCell ref="D15:E15"/>
    <mergeCell ref="G19:I19"/>
    <mergeCell ref="G15:I15"/>
    <mergeCell ref="G24:I24"/>
    <mergeCell ref="D25:P25"/>
    <mergeCell ref="G21:I21"/>
    <mergeCell ref="D22:E22"/>
    <mergeCell ref="G22:I22"/>
    <mergeCell ref="D24:E24"/>
    <mergeCell ref="G16:I16"/>
    <mergeCell ref="D12:E12"/>
    <mergeCell ref="D13:E13"/>
    <mergeCell ref="D14:E14"/>
    <mergeCell ref="G13:I13"/>
    <mergeCell ref="G12:I12"/>
    <mergeCell ref="G14:I14"/>
  </mergeCells>
  <dataValidations count="3">
    <dataValidation type="list" allowBlank="1" showInputMessage="1" showErrorMessage="1" errorTitle="Plazo No Disponible" error="Ingresa un plazo entre 12, 18, 24 y 36 meses." sqref="G15:I15">
      <formula1>"12,18,24,36"</formula1>
    </dataValidation>
    <dataValidation type="list" allowBlank="1" showInputMessage="1" showErrorMessage="1" errorTitle="Escoge una Fecha de Pago Valida" error="2 o 17 de cada mes." sqref="G14:I14">
      <formula1>"2,17"</formula1>
    </dataValidation>
    <dataValidation type="whole" allowBlank="1" showInputMessage="1" showErrorMessage="1" errorTitle="Selecciona un Monto Valido" error="Entre 500.000 y 10.000.000 de pesos." sqref="G13:I13">
      <formula1>500000</formula1>
      <formula2>10000000</formula2>
    </dataValidation>
  </dataValidation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RowHeight="15"/>
  <sheetData>
    <row r="1" spans="1:1">
      <c r="A1">
        <v>2</v>
      </c>
    </row>
    <row r="2" spans="1:1">
      <c r="A2">
        <v>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zoomScale="90" zoomScaleNormal="90" workbookViewId="0">
      <selection activeCell="C29" sqref="C29"/>
    </sheetView>
  </sheetViews>
  <sheetFormatPr baseColWidth="10" defaultRowHeight="15.75"/>
  <cols>
    <col min="1" max="1" width="7.42578125" style="1" customWidth="1"/>
    <col min="2" max="2" width="12.28515625" style="1" bestFit="1" customWidth="1"/>
    <col min="3" max="3" width="12.28515625" style="38" customWidth="1"/>
    <col min="4" max="4" width="16.5703125" style="1" customWidth="1"/>
    <col min="5" max="5" width="16.5703125" style="25" customWidth="1"/>
    <col min="6" max="6" width="15" style="1" bestFit="1" customWidth="1"/>
    <col min="7" max="7" width="13.7109375" style="1" bestFit="1" customWidth="1"/>
    <col min="8" max="8" width="8.85546875" style="1" customWidth="1"/>
    <col min="9" max="9" width="14.28515625" style="25" bestFit="1" customWidth="1"/>
    <col min="10" max="10" width="14.28515625" style="25" customWidth="1"/>
    <col min="11" max="11" width="18.7109375" style="1" customWidth="1"/>
    <col min="12" max="12" width="16.140625" style="25" bestFit="1" customWidth="1"/>
    <col min="13" max="13" width="17.42578125" style="25" bestFit="1" customWidth="1"/>
    <col min="14" max="14" width="21.85546875" style="25" customWidth="1"/>
    <col min="15" max="15" width="25.140625" style="1" bestFit="1" customWidth="1"/>
    <col min="16" max="16" width="19.42578125" style="1" customWidth="1"/>
    <col min="17" max="17" width="23.140625" style="2" bestFit="1" customWidth="1"/>
    <col min="18" max="18" width="1.7109375" style="2" hidden="1" customWidth="1"/>
    <col min="19" max="19" width="26" hidden="1" customWidth="1"/>
    <col min="20" max="20" width="48" hidden="1" customWidth="1"/>
  </cols>
  <sheetData>
    <row r="1" spans="1:21">
      <c r="A1" s="1" t="s">
        <v>0</v>
      </c>
      <c r="R1" s="16"/>
      <c r="S1" s="17"/>
      <c r="T1" s="17"/>
    </row>
    <row r="2" spans="1:21">
      <c r="A2" s="207" t="s">
        <v>1</v>
      </c>
      <c r="B2" s="207"/>
      <c r="C2" s="207"/>
      <c r="D2" s="207"/>
      <c r="E2" s="207"/>
      <c r="F2" s="207"/>
      <c r="G2" s="207"/>
      <c r="H2" s="207"/>
      <c r="I2" s="207"/>
      <c r="J2" s="207"/>
      <c r="K2" s="207"/>
      <c r="L2" s="207"/>
      <c r="M2" s="207"/>
      <c r="N2" s="207"/>
      <c r="O2" s="207"/>
      <c r="P2" s="207"/>
      <c r="Q2" s="207"/>
      <c r="R2" s="18"/>
      <c r="S2" s="17" t="s">
        <v>25</v>
      </c>
      <c r="T2" s="17" t="s">
        <v>26</v>
      </c>
    </row>
    <row r="3" spans="1:21">
      <c r="A3" s="207" t="s">
        <v>2</v>
      </c>
      <c r="B3" s="207"/>
      <c r="C3" s="207"/>
      <c r="D3" s="207"/>
      <c r="E3" s="207"/>
      <c r="F3" s="207"/>
      <c r="G3" s="207"/>
      <c r="H3" s="207"/>
      <c r="I3" s="207"/>
      <c r="J3" s="207"/>
      <c r="K3" s="207"/>
      <c r="L3" s="207"/>
      <c r="M3" s="207"/>
      <c r="N3" s="207"/>
      <c r="O3" s="207"/>
      <c r="P3" s="207"/>
      <c r="Q3" s="207"/>
      <c r="R3" s="18"/>
      <c r="S3" s="17"/>
      <c r="T3" s="17"/>
    </row>
    <row r="4" spans="1:21">
      <c r="A4" s="207" t="s">
        <v>3</v>
      </c>
      <c r="B4" s="207"/>
      <c r="C4" s="207"/>
      <c r="D4" s="207"/>
      <c r="E4" s="207"/>
      <c r="F4" s="207"/>
      <c r="G4" s="207"/>
      <c r="H4" s="207"/>
      <c r="I4" s="207"/>
      <c r="J4" s="207"/>
      <c r="K4" s="207"/>
      <c r="L4" s="207"/>
      <c r="M4" s="207"/>
      <c r="N4" s="207"/>
      <c r="O4" s="207"/>
      <c r="P4" s="207"/>
      <c r="Q4" s="207"/>
      <c r="R4" s="18"/>
      <c r="S4" s="17"/>
      <c r="T4" s="17"/>
    </row>
    <row r="5" spans="1:21" s="33" customFormat="1">
      <c r="A5" s="25" t="s">
        <v>42</v>
      </c>
      <c r="B5" s="25"/>
      <c r="C5" s="38"/>
      <c r="D5" s="25"/>
      <c r="E5" s="25"/>
      <c r="F5" s="25"/>
      <c r="G5" s="25"/>
      <c r="H5" s="25"/>
      <c r="I5" s="25"/>
      <c r="J5" s="25"/>
      <c r="K5" s="25"/>
      <c r="L5" s="25"/>
      <c r="M5" s="25"/>
      <c r="N5" s="36">
        <v>43223</v>
      </c>
      <c r="R5" s="37"/>
    </row>
    <row r="6" spans="1:21" s="33" customFormat="1">
      <c r="A6" s="25"/>
      <c r="B6" s="25"/>
      <c r="C6" s="38"/>
      <c r="D6" s="25"/>
      <c r="E6" s="25"/>
      <c r="F6" s="25"/>
      <c r="G6" s="25"/>
      <c r="H6" s="25"/>
      <c r="I6" s="25"/>
      <c r="J6" s="25"/>
      <c r="K6" s="25"/>
      <c r="L6" s="25"/>
      <c r="M6" s="25" t="s">
        <v>45</v>
      </c>
      <c r="N6" s="44">
        <f>+DAY(N5)</f>
        <v>3</v>
      </c>
      <c r="R6" s="37"/>
    </row>
    <row r="7" spans="1:21" s="33" customFormat="1">
      <c r="A7" s="25"/>
      <c r="B7" s="25"/>
      <c r="C7" s="38"/>
      <c r="D7" s="25"/>
      <c r="E7" s="25"/>
      <c r="F7" s="25"/>
      <c r="G7" s="25"/>
      <c r="H7" s="25"/>
      <c r="I7" s="25"/>
      <c r="J7" s="25"/>
      <c r="K7" s="25"/>
      <c r="L7" s="25"/>
      <c r="M7" s="25" t="s">
        <v>46</v>
      </c>
      <c r="N7" s="44">
        <f>+MONTH(N5)</f>
        <v>5</v>
      </c>
      <c r="R7" s="37"/>
    </row>
    <row r="8" spans="1:21" s="33" customFormat="1">
      <c r="A8" s="25"/>
      <c r="B8" s="25"/>
      <c r="C8" s="38"/>
      <c r="D8" s="25"/>
      <c r="E8" s="25"/>
      <c r="F8" s="25"/>
      <c r="G8" s="25"/>
      <c r="H8" s="25"/>
      <c r="I8" s="25"/>
      <c r="J8" s="25"/>
      <c r="K8" s="25"/>
      <c r="L8" s="25"/>
      <c r="M8" s="25" t="s">
        <v>47</v>
      </c>
      <c r="N8" s="44">
        <f>+YEAR(N5)</f>
        <v>2018</v>
      </c>
      <c r="R8" s="37"/>
    </row>
    <row r="9" spans="1:21" s="33" customFormat="1">
      <c r="A9" s="25"/>
      <c r="B9" s="25"/>
      <c r="C9" s="38"/>
      <c r="D9" s="25"/>
      <c r="E9" s="25"/>
      <c r="F9" s="25"/>
      <c r="G9" s="25"/>
      <c r="H9" s="25"/>
      <c r="I9" s="25"/>
      <c r="J9" s="25"/>
      <c r="K9" s="45" t="s">
        <v>48</v>
      </c>
      <c r="L9" s="46"/>
      <c r="M9" s="45"/>
      <c r="N9" s="47">
        <f>+DATE(YEAR(EDATE(N5,1)),MONTH(EDATE(N5,1)),2)</f>
        <v>43253</v>
      </c>
      <c r="R9" s="48"/>
      <c r="S9" s="49"/>
      <c r="T9" s="49"/>
      <c r="U9" s="49"/>
    </row>
    <row r="10" spans="1:21" s="33" customFormat="1">
      <c r="A10" s="25"/>
      <c r="B10" s="25"/>
      <c r="C10" s="38"/>
      <c r="D10" s="25"/>
      <c r="E10" s="25"/>
      <c r="F10" s="25"/>
      <c r="G10" s="25"/>
      <c r="H10" s="25"/>
      <c r="I10" s="25"/>
      <c r="J10" s="25"/>
      <c r="K10" s="45" t="s">
        <v>49</v>
      </c>
      <c r="L10" s="46"/>
      <c r="M10" s="45"/>
      <c r="N10" s="50">
        <f>+DAYS360(N5,N9)</f>
        <v>29</v>
      </c>
      <c r="R10" s="48"/>
      <c r="S10" s="49"/>
      <c r="T10" s="49"/>
      <c r="U10" s="49"/>
    </row>
    <row r="11" spans="1:21" s="33" customFormat="1">
      <c r="A11" s="25"/>
      <c r="B11" s="25"/>
      <c r="C11" s="38"/>
      <c r="D11" s="25"/>
      <c r="E11" s="25"/>
      <c r="F11" s="25"/>
      <c r="G11" s="25"/>
      <c r="H11" s="25"/>
      <c r="I11" s="25"/>
      <c r="J11" s="25"/>
      <c r="K11" s="45" t="s">
        <v>50</v>
      </c>
      <c r="L11" s="45" t="s">
        <v>44</v>
      </c>
      <c r="M11" s="49"/>
      <c r="N11" s="47">
        <f>+IF(N10&lt;30,EDATE(N9,1),N9)</f>
        <v>43283</v>
      </c>
      <c r="R11" s="48"/>
      <c r="S11" s="49"/>
      <c r="T11" s="49"/>
      <c r="U11" s="49"/>
    </row>
    <row r="12" spans="1:21" s="33" customFormat="1">
      <c r="A12" s="25"/>
      <c r="B12" s="25"/>
      <c r="C12" s="38"/>
      <c r="D12" s="25"/>
      <c r="E12" s="25"/>
      <c r="F12" s="25"/>
      <c r="G12" s="25"/>
      <c r="H12" s="25"/>
      <c r="I12" s="25"/>
      <c r="J12" s="25"/>
      <c r="K12" s="25"/>
      <c r="M12" s="25"/>
      <c r="N12" s="36"/>
      <c r="R12" s="37"/>
    </row>
    <row r="13" spans="1:21" s="33" customFormat="1">
      <c r="A13" s="25"/>
      <c r="B13" s="25"/>
      <c r="C13" s="38"/>
      <c r="D13" s="25"/>
      <c r="E13" s="25"/>
      <c r="F13" s="25"/>
      <c r="G13" s="25"/>
      <c r="H13" s="25"/>
      <c r="I13" s="25"/>
      <c r="J13" s="25"/>
      <c r="K13" s="25"/>
      <c r="L13" s="25"/>
      <c r="M13" s="25"/>
      <c r="N13" s="36"/>
      <c r="R13" s="37"/>
    </row>
    <row r="14" spans="1:21">
      <c r="A14" s="14" t="s">
        <v>4</v>
      </c>
      <c r="B14" s="14"/>
      <c r="C14" s="14"/>
      <c r="D14" s="14"/>
      <c r="E14" s="14"/>
      <c r="F14" s="14"/>
      <c r="G14" s="14"/>
      <c r="H14" s="14"/>
      <c r="I14" s="14"/>
      <c r="J14" s="14"/>
      <c r="K14" s="14"/>
      <c r="L14" s="14"/>
      <c r="M14" s="14"/>
      <c r="N14" s="2">
        <v>12345678</v>
      </c>
      <c r="R14" s="16"/>
      <c r="S14" s="17" t="s">
        <v>24</v>
      </c>
      <c r="T14" s="17" t="s">
        <v>27</v>
      </c>
    </row>
    <row r="15" spans="1:21">
      <c r="A15" s="14" t="s">
        <v>5</v>
      </c>
      <c r="B15" s="14"/>
      <c r="C15" s="14"/>
      <c r="D15" s="14"/>
      <c r="E15" s="14"/>
      <c r="F15" s="14"/>
      <c r="G15" s="14"/>
      <c r="H15" s="14"/>
      <c r="I15" s="14"/>
      <c r="J15" s="14"/>
      <c r="K15" s="14"/>
      <c r="L15" s="14"/>
      <c r="M15" s="14"/>
      <c r="N15" s="3" t="s">
        <v>6</v>
      </c>
      <c r="R15" s="19"/>
      <c r="S15" s="17" t="s">
        <v>28</v>
      </c>
      <c r="T15" s="17" t="s">
        <v>29</v>
      </c>
    </row>
    <row r="16" spans="1:21">
      <c r="A16" s="14" t="s">
        <v>7</v>
      </c>
      <c r="B16" s="14"/>
      <c r="C16" s="14"/>
      <c r="D16" s="14"/>
      <c r="E16" s="14"/>
      <c r="F16" s="14"/>
      <c r="G16" s="14"/>
      <c r="H16" s="14"/>
      <c r="I16" s="14"/>
      <c r="J16" s="14"/>
      <c r="K16" s="14"/>
      <c r="L16" s="14"/>
      <c r="M16" s="14"/>
      <c r="N16" s="4">
        <v>50000000</v>
      </c>
      <c r="R16" s="20"/>
      <c r="S16" s="17" t="s">
        <v>24</v>
      </c>
      <c r="T16" s="17" t="s">
        <v>30</v>
      </c>
    </row>
    <row r="17" spans="1:21">
      <c r="A17" s="14" t="s">
        <v>8</v>
      </c>
      <c r="B17" s="14"/>
      <c r="C17" s="14"/>
      <c r="D17" s="14"/>
      <c r="E17" s="14"/>
      <c r="F17" s="14"/>
      <c r="G17" s="14"/>
      <c r="H17" s="14"/>
      <c r="I17" s="14"/>
      <c r="J17" s="14"/>
      <c r="K17" s="14"/>
      <c r="L17" s="14"/>
      <c r="M17" s="14"/>
      <c r="N17" s="5">
        <v>48</v>
      </c>
      <c r="R17" s="21"/>
      <c r="S17" s="17" t="s">
        <v>24</v>
      </c>
      <c r="T17" s="17" t="s">
        <v>31</v>
      </c>
    </row>
    <row r="18" spans="1:21">
      <c r="A18" s="14" t="s">
        <v>10</v>
      </c>
      <c r="B18" s="14"/>
      <c r="C18" s="14"/>
      <c r="D18" s="14"/>
      <c r="E18" s="14"/>
      <c r="F18" s="14"/>
      <c r="G18" s="14"/>
      <c r="H18" s="14"/>
      <c r="I18" s="14"/>
      <c r="J18" s="14"/>
      <c r="K18" s="14"/>
      <c r="L18" s="14"/>
      <c r="M18" s="14"/>
      <c r="N18" s="6">
        <v>0.2475</v>
      </c>
      <c r="R18" s="23"/>
      <c r="S18" s="17" t="s">
        <v>34</v>
      </c>
      <c r="T18" s="17" t="s">
        <v>35</v>
      </c>
    </row>
    <row r="19" spans="1:21" s="33" customFormat="1">
      <c r="A19" s="25"/>
      <c r="B19" s="25"/>
      <c r="C19" s="38"/>
      <c r="D19" s="25"/>
      <c r="E19" s="25"/>
      <c r="F19" s="25"/>
      <c r="G19" s="25"/>
      <c r="H19" s="25"/>
      <c r="I19" s="25"/>
      <c r="J19" s="25"/>
      <c r="K19" s="25"/>
      <c r="L19" s="25"/>
      <c r="M19" s="25"/>
      <c r="N19" s="34">
        <f>+N18/12</f>
        <v>2.0625000000000001E-2</v>
      </c>
      <c r="R19" s="34"/>
      <c r="U19" s="35"/>
    </row>
    <row r="20" spans="1:21">
      <c r="A20" s="14" t="s">
        <v>11</v>
      </c>
      <c r="B20" s="14"/>
      <c r="C20" s="14"/>
      <c r="D20" s="14"/>
      <c r="E20" s="14"/>
      <c r="F20" s="14"/>
      <c r="G20" s="14"/>
      <c r="H20" s="14"/>
      <c r="I20" s="14"/>
      <c r="J20" s="14"/>
      <c r="K20" s="14"/>
      <c r="L20" s="14"/>
      <c r="M20" s="14"/>
      <c r="N20" s="4">
        <v>3159</v>
      </c>
      <c r="O20" s="14"/>
      <c r="R20" s="20"/>
      <c r="S20" s="17" t="s">
        <v>36</v>
      </c>
      <c r="T20" s="17" t="s">
        <v>37</v>
      </c>
    </row>
    <row r="21" spans="1:21">
      <c r="A21" s="14" t="s">
        <v>12</v>
      </c>
      <c r="B21" s="14"/>
      <c r="C21" s="14"/>
      <c r="D21" s="14"/>
      <c r="E21" s="14"/>
      <c r="F21" s="14"/>
      <c r="G21" s="14"/>
      <c r="H21" s="14"/>
      <c r="I21" s="14"/>
      <c r="J21" s="14"/>
      <c r="K21" s="14"/>
      <c r="L21" s="14"/>
      <c r="M21" s="14"/>
      <c r="N21" s="4">
        <v>0</v>
      </c>
      <c r="O21" s="14"/>
      <c r="R21" s="20"/>
      <c r="S21" s="17" t="s">
        <v>36</v>
      </c>
      <c r="T21" s="17" t="s">
        <v>37</v>
      </c>
    </row>
    <row r="22" spans="1:21" s="33" customFormat="1">
      <c r="A22" s="26"/>
      <c r="B22" s="26"/>
      <c r="C22" s="39"/>
      <c r="D22" s="26"/>
      <c r="E22" s="26"/>
      <c r="F22" s="26"/>
      <c r="G22" s="26"/>
      <c r="H22" s="26"/>
      <c r="I22" s="26"/>
      <c r="J22" s="26"/>
      <c r="K22" s="26"/>
      <c r="L22" s="26"/>
      <c r="M22" s="28">
        <v>3159</v>
      </c>
      <c r="N22" s="32">
        <v>1000000</v>
      </c>
      <c r="O22" s="26"/>
      <c r="R22" s="32"/>
    </row>
    <row r="23" spans="1:21" s="33" customFormat="1">
      <c r="A23" s="31" t="s">
        <v>51</v>
      </c>
      <c r="B23" s="31"/>
      <c r="C23" s="31"/>
      <c r="D23" s="31"/>
      <c r="E23" s="31"/>
      <c r="F23" s="31"/>
      <c r="G23" s="31"/>
      <c r="H23" s="31"/>
      <c r="I23" s="31"/>
      <c r="J23" s="31"/>
      <c r="K23" s="31"/>
      <c r="L23" s="31"/>
      <c r="M23" s="31"/>
      <c r="N23" s="57">
        <f>+PMT($N$19,$N$17,-$N$16)</f>
        <v>1650892.2651740911</v>
      </c>
      <c r="O23" s="31"/>
      <c r="R23" s="56"/>
      <c r="S23" s="33" t="s">
        <v>33</v>
      </c>
      <c r="T23" s="33" t="s">
        <v>32</v>
      </c>
    </row>
    <row r="24" spans="1:21" s="33" customFormat="1">
      <c r="A24" s="31" t="s">
        <v>52</v>
      </c>
      <c r="B24" s="31"/>
      <c r="C24" s="31"/>
      <c r="D24" s="31"/>
      <c r="E24" s="31"/>
      <c r="F24" s="31"/>
      <c r="G24" s="31"/>
      <c r="H24" s="31"/>
      <c r="I24" s="31"/>
      <c r="J24" s="31"/>
      <c r="K24" s="31"/>
      <c r="L24" s="31"/>
      <c r="M24" s="31"/>
      <c r="N24" s="57">
        <f>IF(A29&gt;$N$17,"",N16*$N$18*C29/360)</f>
        <v>2028125</v>
      </c>
      <c r="O24" s="31"/>
      <c r="R24" s="56"/>
    </row>
    <row r="25" spans="1:21" s="33" customFormat="1">
      <c r="A25" s="26" t="s">
        <v>56</v>
      </c>
      <c r="B25" s="26"/>
      <c r="C25" s="26"/>
      <c r="D25" s="26"/>
      <c r="E25" s="26"/>
      <c r="F25" s="26"/>
      <c r="G25" s="26"/>
      <c r="H25" s="26"/>
      <c r="I25" s="26"/>
      <c r="J25" s="26"/>
      <c r="K25" s="26"/>
      <c r="L25" s="26"/>
      <c r="N25" s="57">
        <f>(((N24-N23)+N24)/N17)+N23</f>
        <v>1701003.8846496309</v>
      </c>
      <c r="O25" s="26"/>
      <c r="R25" s="56"/>
    </row>
    <row r="26" spans="1:21">
      <c r="A26" s="55"/>
      <c r="B26" s="55"/>
      <c r="C26" s="55"/>
      <c r="D26" s="55"/>
      <c r="E26" s="55"/>
      <c r="F26" s="55"/>
      <c r="G26" s="55"/>
      <c r="H26" s="55"/>
      <c r="I26" s="55"/>
      <c r="J26" s="55"/>
      <c r="K26" s="55"/>
      <c r="L26" s="55"/>
      <c r="M26" s="55"/>
      <c r="N26" s="55"/>
      <c r="O26" s="55"/>
      <c r="P26" s="55"/>
      <c r="Q26" s="42"/>
      <c r="R26" s="22"/>
      <c r="S26" s="17"/>
      <c r="T26" s="17"/>
    </row>
    <row r="27" spans="1:21">
      <c r="A27" s="54"/>
      <c r="B27" s="54"/>
      <c r="C27" s="39"/>
      <c r="D27" s="54"/>
      <c r="E27" s="26"/>
      <c r="G27" s="54"/>
      <c r="H27" s="54"/>
      <c r="I27" s="26"/>
      <c r="J27" s="26"/>
      <c r="K27" s="54"/>
      <c r="L27" s="26"/>
      <c r="M27" s="26"/>
      <c r="N27" s="26"/>
      <c r="O27" s="54"/>
      <c r="P27" s="7"/>
      <c r="Q27" s="4"/>
      <c r="R27" s="20"/>
      <c r="S27" s="17" t="s">
        <v>38</v>
      </c>
      <c r="T27" s="17" t="s">
        <v>38</v>
      </c>
    </row>
    <row r="28" spans="1:21" ht="35.25" customHeight="1">
      <c r="A28" s="8" t="s">
        <v>13</v>
      </c>
      <c r="B28" s="8" t="s">
        <v>14</v>
      </c>
      <c r="C28" s="40" t="s">
        <v>43</v>
      </c>
      <c r="D28" s="8" t="s">
        <v>15</v>
      </c>
      <c r="E28" s="60" t="s">
        <v>54</v>
      </c>
      <c r="F28" s="8" t="s">
        <v>16</v>
      </c>
      <c r="G28" s="8" t="s">
        <v>17</v>
      </c>
      <c r="H28" s="9" t="s">
        <v>12</v>
      </c>
      <c r="I28" s="27" t="s">
        <v>9</v>
      </c>
      <c r="J28" s="27"/>
      <c r="K28" s="9" t="s">
        <v>18</v>
      </c>
      <c r="L28" s="27" t="s">
        <v>19</v>
      </c>
      <c r="M28" s="60" t="s">
        <v>55</v>
      </c>
      <c r="N28" s="30" t="s">
        <v>20</v>
      </c>
      <c r="O28" s="10"/>
      <c r="P28" s="10"/>
      <c r="Q28" s="3"/>
      <c r="R28" s="19"/>
      <c r="S28" s="17"/>
      <c r="T28" s="17"/>
    </row>
    <row r="29" spans="1:21">
      <c r="A29" s="11">
        <v>1</v>
      </c>
      <c r="B29" s="12">
        <f>+N11</f>
        <v>43283</v>
      </c>
      <c r="C29" s="38">
        <v>59</v>
      </c>
      <c r="D29" s="7">
        <f t="shared" ref="D29:D60" si="0">+IF(IF(A29&gt;$N$17,"",I29-F29)&lt;0,0,IF(A29&gt;$N$17,"",I29-F29))</f>
        <v>0</v>
      </c>
      <c r="E29" s="28">
        <f t="shared" ref="E29:E76" si="1">+IF(A29&gt;$N$17,"",I29-F29)</f>
        <v>-377232.7348259089</v>
      </c>
      <c r="F29" s="7">
        <f>IF(A29&gt;$N$17,"",N16*$N$18*C29/360)</f>
        <v>2028125</v>
      </c>
      <c r="G29" s="7">
        <f t="shared" ref="G29:G60" si="2">IF(A29&gt;$N$17,"",ROUNDUP($N$16*$M$22/$N$22,0))</f>
        <v>157950</v>
      </c>
      <c r="H29" s="7">
        <v>0</v>
      </c>
      <c r="I29" s="28">
        <f t="shared" ref="I29:I60" si="3">IF(A29&gt;$N$17,"",PMT($N$19,$N$17,-$N$16))</f>
        <v>1650892.2651740911</v>
      </c>
      <c r="J29" s="28"/>
      <c r="K29" s="7">
        <f t="shared" ref="K29:K60" si="4">IF(A29&gt;$N$17,"",I29+G29)</f>
        <v>1808842.2651740911</v>
      </c>
      <c r="L29" s="29">
        <f>+N16</f>
        <v>50000000</v>
      </c>
      <c r="M29" s="29">
        <f>+N16</f>
        <v>50000000</v>
      </c>
      <c r="N29" s="31" t="s">
        <v>21</v>
      </c>
      <c r="O29" s="51"/>
      <c r="P29" s="43">
        <f>+B29-N5</f>
        <v>60</v>
      </c>
      <c r="Q29" s="12"/>
      <c r="R29" s="16"/>
      <c r="S29" s="17" t="s">
        <v>40</v>
      </c>
      <c r="T29" s="24" t="s">
        <v>39</v>
      </c>
    </row>
    <row r="30" spans="1:21">
      <c r="A30" s="11">
        <v>2</v>
      </c>
      <c r="B30" s="12">
        <f t="shared" ref="B30:B61" si="5">+IF(A30&gt;$N$17,"",EDATE(B29,1))</f>
        <v>43314</v>
      </c>
      <c r="C30" s="38">
        <f t="shared" ref="C30:C61" si="6">+IF(A30&gt;$N$17,"",30)</f>
        <v>30</v>
      </c>
      <c r="D30" s="7">
        <f t="shared" si="0"/>
        <v>242409.53034818219</v>
      </c>
      <c r="E30" s="28">
        <f t="shared" si="1"/>
        <v>242409.53034818219</v>
      </c>
      <c r="F30" s="7">
        <f>IF(A30&gt;$N$17,"",IF(D29&lt;=0,(L30*$N$18*C30/360)-E29,L30*$N$18*C30/360))</f>
        <v>1408482.7348259089</v>
      </c>
      <c r="G30" s="7">
        <f t="shared" si="2"/>
        <v>157950</v>
      </c>
      <c r="H30" s="7">
        <v>0</v>
      </c>
      <c r="I30" s="28">
        <f t="shared" si="3"/>
        <v>1650892.2651740911</v>
      </c>
      <c r="J30" s="28"/>
      <c r="K30" s="7">
        <f t="shared" si="4"/>
        <v>1808842.2651740911</v>
      </c>
      <c r="L30" s="28">
        <f t="shared" ref="L30:L61" si="7">IF(A30&gt;$N$17,"",IF(D29&gt;0,L29-D29,L29))</f>
        <v>50000000</v>
      </c>
      <c r="M30" s="28">
        <f t="shared" ref="M30:M61" si="8">IF(A30&gt;$N$17,"",IF(D29&gt;0,L29-D29,L29))</f>
        <v>50000000</v>
      </c>
      <c r="N30" s="31" t="s">
        <v>21</v>
      </c>
      <c r="O30" s="52">
        <f>IF(A30&gt;$N$17,"",IF(D29&lt;=0,(L30*$N$19)-D29,L30*$N$19))</f>
        <v>1031250</v>
      </c>
      <c r="P30" s="14" t="s">
        <v>53</v>
      </c>
      <c r="R30" s="16"/>
      <c r="S30" s="17" t="s">
        <v>40</v>
      </c>
      <c r="T30" s="24" t="s">
        <v>39</v>
      </c>
    </row>
    <row r="31" spans="1:21">
      <c r="A31" s="11">
        <v>3</v>
      </c>
      <c r="B31" s="12">
        <f t="shared" si="5"/>
        <v>43345</v>
      </c>
      <c r="C31" s="38">
        <f t="shared" si="6"/>
        <v>30</v>
      </c>
      <c r="D31" s="7">
        <f t="shared" si="0"/>
        <v>624641.96173752239</v>
      </c>
      <c r="E31" s="28">
        <f t="shared" si="1"/>
        <v>624641.96173752239</v>
      </c>
      <c r="F31" s="7">
        <f t="shared" ref="F31:F62" si="9">IF(A31&gt;$N$17,"",IF(D30&lt;=0,(L31*$N$18*C31/360)-D30,L31*$N$18*C31/360))</f>
        <v>1026250.3034365687</v>
      </c>
      <c r="G31" s="7">
        <f t="shared" si="2"/>
        <v>157950</v>
      </c>
      <c r="H31" s="7">
        <v>0</v>
      </c>
      <c r="I31" s="28">
        <f t="shared" si="3"/>
        <v>1650892.2651740911</v>
      </c>
      <c r="J31" s="28"/>
      <c r="K31" s="7">
        <f t="shared" si="4"/>
        <v>1808842.2651740911</v>
      </c>
      <c r="L31" s="28">
        <f t="shared" si="7"/>
        <v>49757590.469651818</v>
      </c>
      <c r="M31" s="28">
        <f t="shared" si="8"/>
        <v>49757590.469651818</v>
      </c>
      <c r="N31" s="31" t="s">
        <v>22</v>
      </c>
      <c r="O31" s="52">
        <f>IF(A31&gt;$N$17,"",IF(D30&lt;=0,(L31*$N$19)-D30,L31*$N$19))</f>
        <v>1026250.3034365688</v>
      </c>
      <c r="P31" s="14"/>
      <c r="R31" s="16"/>
      <c r="S31" s="17" t="s">
        <v>40</v>
      </c>
      <c r="T31" s="24" t="s">
        <v>39</v>
      </c>
    </row>
    <row r="32" spans="1:21">
      <c r="A32" s="11">
        <v>4</v>
      </c>
      <c r="B32" s="12">
        <f t="shared" si="5"/>
        <v>43375</v>
      </c>
      <c r="C32" s="38">
        <f t="shared" si="6"/>
        <v>30</v>
      </c>
      <c r="D32" s="7">
        <f t="shared" si="0"/>
        <v>637525.20219835872</v>
      </c>
      <c r="E32" s="28">
        <f t="shared" si="1"/>
        <v>637525.20219835872</v>
      </c>
      <c r="F32" s="7">
        <f t="shared" si="9"/>
        <v>1013367.0629757324</v>
      </c>
      <c r="G32" s="7">
        <f t="shared" si="2"/>
        <v>157950</v>
      </c>
      <c r="H32" s="7">
        <v>0</v>
      </c>
      <c r="I32" s="28">
        <f t="shared" si="3"/>
        <v>1650892.2651740911</v>
      </c>
      <c r="J32" s="28"/>
      <c r="K32" s="7">
        <f t="shared" si="4"/>
        <v>1808842.2651740911</v>
      </c>
      <c r="L32" s="28">
        <f t="shared" si="7"/>
        <v>49132948.507914297</v>
      </c>
      <c r="M32" s="28">
        <f t="shared" si="8"/>
        <v>49132948.507914297</v>
      </c>
      <c r="N32" s="31" t="s">
        <v>22</v>
      </c>
      <c r="O32" s="52">
        <f>IF(A32&gt;$N$17,"",IF(D31&lt;=0,(L32*$N$19)-D31,L32*$N$19))</f>
        <v>1013367.0629757324</v>
      </c>
      <c r="P32" s="14"/>
      <c r="R32" s="16"/>
      <c r="S32" s="17" t="s">
        <v>40</v>
      </c>
      <c r="T32" s="24" t="s">
        <v>39</v>
      </c>
    </row>
    <row r="33" spans="1:20">
      <c r="A33" s="11">
        <v>5</v>
      </c>
      <c r="B33" s="12">
        <f t="shared" si="5"/>
        <v>43406</v>
      </c>
      <c r="C33" s="38">
        <f t="shared" si="6"/>
        <v>30</v>
      </c>
      <c r="D33" s="7">
        <f t="shared" si="0"/>
        <v>650674.15949369979</v>
      </c>
      <c r="E33" s="28">
        <f t="shared" si="1"/>
        <v>650674.15949369979</v>
      </c>
      <c r="F33" s="7">
        <f t="shared" si="9"/>
        <v>1000218.1056803913</v>
      </c>
      <c r="G33" s="7">
        <f t="shared" si="2"/>
        <v>157950</v>
      </c>
      <c r="H33" s="7">
        <v>0</v>
      </c>
      <c r="I33" s="28">
        <f t="shared" si="3"/>
        <v>1650892.2651740911</v>
      </c>
      <c r="J33" s="28"/>
      <c r="K33" s="7">
        <f t="shared" si="4"/>
        <v>1808842.2651740911</v>
      </c>
      <c r="L33" s="28">
        <f t="shared" si="7"/>
        <v>48495423.305715941</v>
      </c>
      <c r="M33" s="28">
        <f t="shared" si="8"/>
        <v>48495423.305715941</v>
      </c>
      <c r="N33" s="31" t="s">
        <v>22</v>
      </c>
      <c r="O33" s="52">
        <f>IF(A33&gt;$N$17,"",IF(D32&lt;=0,(L33*$N$19)-D32,L33*$N$19))</f>
        <v>1000218.1056803913</v>
      </c>
      <c r="P33" s="14"/>
      <c r="R33" s="16"/>
      <c r="S33" s="17" t="s">
        <v>40</v>
      </c>
      <c r="T33" s="24" t="s">
        <v>39</v>
      </c>
    </row>
    <row r="34" spans="1:20">
      <c r="A34" s="11">
        <v>6</v>
      </c>
      <c r="B34" s="12">
        <f t="shared" si="5"/>
        <v>43436</v>
      </c>
      <c r="C34" s="38">
        <f t="shared" si="6"/>
        <v>30</v>
      </c>
      <c r="D34" s="7">
        <f t="shared" si="0"/>
        <v>664094.31403325731</v>
      </c>
      <c r="E34" s="28">
        <f t="shared" si="1"/>
        <v>664094.31403325731</v>
      </c>
      <c r="F34" s="7">
        <f t="shared" si="9"/>
        <v>986797.95114083379</v>
      </c>
      <c r="G34" s="7">
        <f t="shared" si="2"/>
        <v>157950</v>
      </c>
      <c r="H34" s="7">
        <v>0</v>
      </c>
      <c r="I34" s="28">
        <f t="shared" si="3"/>
        <v>1650892.2651740911</v>
      </c>
      <c r="J34" s="28"/>
      <c r="K34" s="7">
        <f t="shared" si="4"/>
        <v>1808842.2651740911</v>
      </c>
      <c r="L34" s="28">
        <f t="shared" si="7"/>
        <v>47844749.146222241</v>
      </c>
      <c r="M34" s="28">
        <f t="shared" si="8"/>
        <v>47844749.146222241</v>
      </c>
      <c r="N34" s="31" t="s">
        <v>22</v>
      </c>
      <c r="O34" s="52">
        <f>IF(A34&gt;$N$17,"",IF(D33&lt;=0,(L34*$N$19)-D33,L34*$N$19))</f>
        <v>986797.95114083379</v>
      </c>
      <c r="P34" s="14"/>
      <c r="R34" s="16"/>
      <c r="S34" s="17" t="s">
        <v>40</v>
      </c>
      <c r="T34" s="24" t="s">
        <v>39</v>
      </c>
    </row>
    <row r="35" spans="1:20">
      <c r="A35" s="11">
        <v>7</v>
      </c>
      <c r="B35" s="12">
        <f t="shared" si="5"/>
        <v>43467</v>
      </c>
      <c r="C35" s="38">
        <f t="shared" si="6"/>
        <v>30</v>
      </c>
      <c r="D35" s="7">
        <f t="shared" si="0"/>
        <v>677791.25926019321</v>
      </c>
      <c r="E35" s="28">
        <f t="shared" si="1"/>
        <v>677791.25926019321</v>
      </c>
      <c r="F35" s="7">
        <f t="shared" si="9"/>
        <v>973101.00591389788</v>
      </c>
      <c r="G35" s="7">
        <f t="shared" si="2"/>
        <v>157950</v>
      </c>
      <c r="H35" s="7">
        <v>0</v>
      </c>
      <c r="I35" s="28">
        <f t="shared" si="3"/>
        <v>1650892.2651740911</v>
      </c>
      <c r="J35" s="28"/>
      <c r="K35" s="7">
        <f t="shared" si="4"/>
        <v>1808842.2651740911</v>
      </c>
      <c r="L35" s="28">
        <f t="shared" si="7"/>
        <v>47180654.832188986</v>
      </c>
      <c r="M35" s="28">
        <f t="shared" si="8"/>
        <v>47180654.832188986</v>
      </c>
      <c r="N35" s="31" t="s">
        <v>22</v>
      </c>
      <c r="O35" s="14"/>
      <c r="P35" s="14"/>
      <c r="R35" s="16"/>
      <c r="S35" s="17" t="s">
        <v>40</v>
      </c>
      <c r="T35" s="24" t="s">
        <v>39</v>
      </c>
    </row>
    <row r="36" spans="1:20">
      <c r="A36" s="11">
        <v>8</v>
      </c>
      <c r="B36" s="12">
        <f t="shared" si="5"/>
        <v>43498</v>
      </c>
      <c r="C36" s="38">
        <f t="shared" si="6"/>
        <v>30</v>
      </c>
      <c r="D36" s="7">
        <f t="shared" si="0"/>
        <v>691770.7039824347</v>
      </c>
      <c r="E36" s="28">
        <f t="shared" si="1"/>
        <v>691770.7039824347</v>
      </c>
      <c r="F36" s="7">
        <f t="shared" si="9"/>
        <v>959121.56119165639</v>
      </c>
      <c r="G36" s="7">
        <f t="shared" si="2"/>
        <v>157950</v>
      </c>
      <c r="H36" s="7">
        <v>0</v>
      </c>
      <c r="I36" s="28">
        <f t="shared" si="3"/>
        <v>1650892.2651740911</v>
      </c>
      <c r="J36" s="28"/>
      <c r="K36" s="7">
        <f t="shared" si="4"/>
        <v>1808842.2651740911</v>
      </c>
      <c r="L36" s="28">
        <f t="shared" si="7"/>
        <v>46502863.572928794</v>
      </c>
      <c r="M36" s="28">
        <f t="shared" si="8"/>
        <v>46502863.572928794</v>
      </c>
      <c r="N36" s="31" t="s">
        <v>22</v>
      </c>
      <c r="O36" s="59" t="str">
        <f>+IF(IF(A29&gt;$N$17,"",I29-F29)&lt;0," ",IF(A29&gt;$N$17,"",I29-F29))</f>
        <v xml:space="preserve"> </v>
      </c>
      <c r="P36" s="14"/>
      <c r="R36" s="16"/>
      <c r="S36" s="17" t="s">
        <v>40</v>
      </c>
      <c r="T36" s="24" t="s">
        <v>39</v>
      </c>
    </row>
    <row r="37" spans="1:20">
      <c r="A37" s="11">
        <v>9</v>
      </c>
      <c r="B37" s="12">
        <f t="shared" si="5"/>
        <v>43526</v>
      </c>
      <c r="C37" s="38">
        <f t="shared" si="6"/>
        <v>30</v>
      </c>
      <c r="D37" s="7">
        <f t="shared" si="0"/>
        <v>706038.47475207236</v>
      </c>
      <c r="E37" s="28">
        <f t="shared" si="1"/>
        <v>706038.47475207236</v>
      </c>
      <c r="F37" s="7">
        <f t="shared" si="9"/>
        <v>944853.79042201873</v>
      </c>
      <c r="G37" s="7">
        <f t="shared" si="2"/>
        <v>157950</v>
      </c>
      <c r="H37" s="7">
        <v>0</v>
      </c>
      <c r="I37" s="28">
        <f t="shared" si="3"/>
        <v>1650892.2651740911</v>
      </c>
      <c r="J37" s="28"/>
      <c r="K37" s="7">
        <f t="shared" si="4"/>
        <v>1808842.2651740911</v>
      </c>
      <c r="L37" s="28">
        <f t="shared" si="7"/>
        <v>45811092.868946359</v>
      </c>
      <c r="M37" s="28">
        <f t="shared" si="8"/>
        <v>45811092.868946359</v>
      </c>
      <c r="N37" s="31" t="s">
        <v>22</v>
      </c>
      <c r="O37" s="59">
        <f>+IF(IF(A30&gt;$N$17,"",I30-F30)&lt;0," ",IF(A30&gt;$N$17,"",I30-F30))</f>
        <v>242409.53034818219</v>
      </c>
      <c r="P37" s="14"/>
      <c r="R37" s="16"/>
      <c r="S37" s="17" t="s">
        <v>40</v>
      </c>
      <c r="T37" s="24" t="s">
        <v>39</v>
      </c>
    </row>
    <row r="38" spans="1:20">
      <c r="A38" s="11">
        <v>10</v>
      </c>
      <c r="B38" s="12">
        <f t="shared" si="5"/>
        <v>43557</v>
      </c>
      <c r="C38" s="38">
        <f t="shared" si="6"/>
        <v>30</v>
      </c>
      <c r="D38" s="7">
        <f t="shared" si="0"/>
        <v>720600.51829383417</v>
      </c>
      <c r="E38" s="28">
        <f t="shared" si="1"/>
        <v>720600.51829383417</v>
      </c>
      <c r="F38" s="7">
        <f t="shared" si="9"/>
        <v>930291.74688025692</v>
      </c>
      <c r="G38" s="7">
        <f t="shared" si="2"/>
        <v>157950</v>
      </c>
      <c r="H38" s="7">
        <v>0</v>
      </c>
      <c r="I38" s="28">
        <f t="shared" si="3"/>
        <v>1650892.2651740911</v>
      </c>
      <c r="J38" s="28"/>
      <c r="K38" s="7">
        <f t="shared" si="4"/>
        <v>1808842.2651740911</v>
      </c>
      <c r="L38" s="28">
        <f t="shared" si="7"/>
        <v>45105054.394194283</v>
      </c>
      <c r="M38" s="28">
        <f t="shared" si="8"/>
        <v>45105054.394194283</v>
      </c>
      <c r="N38" s="31" t="s">
        <v>22</v>
      </c>
      <c r="O38" s="14"/>
      <c r="P38" s="14"/>
      <c r="R38" s="16"/>
      <c r="S38" s="17" t="s">
        <v>40</v>
      </c>
      <c r="T38" s="24" t="s">
        <v>39</v>
      </c>
    </row>
    <row r="39" spans="1:20">
      <c r="A39" s="11">
        <v>11</v>
      </c>
      <c r="B39" s="12">
        <f t="shared" si="5"/>
        <v>43587</v>
      </c>
      <c r="C39" s="38">
        <f t="shared" si="6"/>
        <v>30</v>
      </c>
      <c r="D39" s="7">
        <f t="shared" si="0"/>
        <v>735462.90398364433</v>
      </c>
      <c r="E39" s="28">
        <f t="shared" si="1"/>
        <v>735462.90398364433</v>
      </c>
      <c r="F39" s="7">
        <f t="shared" si="9"/>
        <v>915429.36119044677</v>
      </c>
      <c r="G39" s="7">
        <f t="shared" si="2"/>
        <v>157950</v>
      </c>
      <c r="H39" s="7">
        <v>0</v>
      </c>
      <c r="I39" s="28">
        <f t="shared" si="3"/>
        <v>1650892.2651740911</v>
      </c>
      <c r="J39" s="28"/>
      <c r="K39" s="7">
        <f t="shared" si="4"/>
        <v>1808842.2651740911</v>
      </c>
      <c r="L39" s="28">
        <f t="shared" si="7"/>
        <v>44384453.875900447</v>
      </c>
      <c r="M39" s="28">
        <f t="shared" si="8"/>
        <v>44384453.875900447</v>
      </c>
      <c r="N39" s="31" t="s">
        <v>22</v>
      </c>
      <c r="O39" s="14"/>
      <c r="P39" s="14"/>
      <c r="R39" s="16"/>
      <c r="S39" s="17" t="s">
        <v>40</v>
      </c>
      <c r="T39" s="24" t="s">
        <v>39</v>
      </c>
    </row>
    <row r="40" spans="1:20">
      <c r="A40" s="11">
        <v>12</v>
      </c>
      <c r="B40" s="12">
        <f t="shared" si="5"/>
        <v>43618</v>
      </c>
      <c r="C40" s="38">
        <f t="shared" si="6"/>
        <v>30</v>
      </c>
      <c r="D40" s="7">
        <f t="shared" si="0"/>
        <v>750631.82637830719</v>
      </c>
      <c r="E40" s="28">
        <f t="shared" si="1"/>
        <v>750631.82637830719</v>
      </c>
      <c r="F40" s="7">
        <f t="shared" si="9"/>
        <v>900260.43879578391</v>
      </c>
      <c r="G40" s="7">
        <f t="shared" si="2"/>
        <v>157950</v>
      </c>
      <c r="H40" s="7">
        <v>0</v>
      </c>
      <c r="I40" s="28">
        <f t="shared" si="3"/>
        <v>1650892.2651740911</v>
      </c>
      <c r="J40" s="28"/>
      <c r="K40" s="7">
        <f t="shared" si="4"/>
        <v>1808842.2651740911</v>
      </c>
      <c r="L40" s="28">
        <f t="shared" si="7"/>
        <v>43648990.971916802</v>
      </c>
      <c r="M40" s="28">
        <f t="shared" si="8"/>
        <v>43648990.971916802</v>
      </c>
      <c r="N40" s="31" t="s">
        <v>22</v>
      </c>
      <c r="O40" s="14"/>
      <c r="P40" s="14"/>
      <c r="R40" s="16"/>
      <c r="S40" s="17" t="s">
        <v>40</v>
      </c>
      <c r="T40" s="24" t="s">
        <v>39</v>
      </c>
    </row>
    <row r="41" spans="1:20">
      <c r="A41" s="11">
        <v>13</v>
      </c>
      <c r="B41" s="12">
        <f t="shared" si="5"/>
        <v>43648</v>
      </c>
      <c r="C41" s="38">
        <f t="shared" si="6"/>
        <v>30</v>
      </c>
      <c r="D41" s="7">
        <f t="shared" si="0"/>
        <v>766113.6077973597</v>
      </c>
      <c r="E41" s="28">
        <f t="shared" si="1"/>
        <v>766113.6077973597</v>
      </c>
      <c r="F41" s="7">
        <f t="shared" si="9"/>
        <v>884778.6573767314</v>
      </c>
      <c r="G41" s="7">
        <f t="shared" si="2"/>
        <v>157950</v>
      </c>
      <c r="H41" s="7">
        <v>0</v>
      </c>
      <c r="I41" s="28">
        <f t="shared" si="3"/>
        <v>1650892.2651740911</v>
      </c>
      <c r="J41" s="28"/>
      <c r="K41" s="7">
        <f t="shared" si="4"/>
        <v>1808842.2651740911</v>
      </c>
      <c r="L41" s="28">
        <f t="shared" si="7"/>
        <v>42898359.145538494</v>
      </c>
      <c r="M41" s="28">
        <f t="shared" si="8"/>
        <v>42898359.145538494</v>
      </c>
      <c r="N41" s="31" t="s">
        <v>22</v>
      </c>
      <c r="O41" s="14"/>
      <c r="P41" s="14"/>
      <c r="R41" s="16"/>
      <c r="S41" s="17" t="s">
        <v>40</v>
      </c>
      <c r="T41" s="24" t="s">
        <v>39</v>
      </c>
    </row>
    <row r="42" spans="1:20">
      <c r="A42" s="11">
        <v>14</v>
      </c>
      <c r="B42" s="12">
        <f t="shared" si="5"/>
        <v>43679</v>
      </c>
      <c r="C42" s="38">
        <f t="shared" si="6"/>
        <v>30</v>
      </c>
      <c r="D42" s="7">
        <f t="shared" si="0"/>
        <v>781914.70095818036</v>
      </c>
      <c r="E42" s="28">
        <f t="shared" si="1"/>
        <v>781914.70095818036</v>
      </c>
      <c r="F42" s="7">
        <f t="shared" si="9"/>
        <v>868977.56421591074</v>
      </c>
      <c r="G42" s="7">
        <f t="shared" si="2"/>
        <v>157950</v>
      </c>
      <c r="H42" s="7">
        <v>0</v>
      </c>
      <c r="I42" s="28">
        <f t="shared" si="3"/>
        <v>1650892.2651740911</v>
      </c>
      <c r="J42" s="28"/>
      <c r="K42" s="7">
        <f t="shared" si="4"/>
        <v>1808842.2651740911</v>
      </c>
      <c r="L42" s="28">
        <f t="shared" si="7"/>
        <v>42132245.537741132</v>
      </c>
      <c r="M42" s="28">
        <f t="shared" si="8"/>
        <v>42132245.537741132</v>
      </c>
      <c r="N42" s="31" t="s">
        <v>22</v>
      </c>
      <c r="O42" s="14"/>
      <c r="P42" s="14"/>
      <c r="R42" s="16"/>
      <c r="S42" s="17" t="s">
        <v>40</v>
      </c>
      <c r="T42" s="24" t="s">
        <v>39</v>
      </c>
    </row>
    <row r="43" spans="1:20">
      <c r="A43" s="11">
        <v>15</v>
      </c>
      <c r="B43" s="12">
        <f t="shared" si="5"/>
        <v>43710</v>
      </c>
      <c r="C43" s="38">
        <f t="shared" si="6"/>
        <v>30</v>
      </c>
      <c r="D43" s="7">
        <f t="shared" si="0"/>
        <v>798041.69166544266</v>
      </c>
      <c r="E43" s="28">
        <f t="shared" si="1"/>
        <v>798041.69166544266</v>
      </c>
      <c r="F43" s="7">
        <f t="shared" si="9"/>
        <v>852850.57350864843</v>
      </c>
      <c r="G43" s="7">
        <f t="shared" si="2"/>
        <v>157950</v>
      </c>
      <c r="H43" s="7">
        <v>0</v>
      </c>
      <c r="I43" s="28">
        <f t="shared" si="3"/>
        <v>1650892.2651740911</v>
      </c>
      <c r="J43" s="28"/>
      <c r="K43" s="7">
        <f t="shared" si="4"/>
        <v>1808842.2651740911</v>
      </c>
      <c r="L43" s="28">
        <f t="shared" si="7"/>
        <v>41350330.836782955</v>
      </c>
      <c r="M43" s="28">
        <f t="shared" si="8"/>
        <v>41350330.836782955</v>
      </c>
      <c r="N43" s="31" t="s">
        <v>22</v>
      </c>
      <c r="O43" s="14"/>
      <c r="P43" s="14"/>
      <c r="R43" s="16"/>
      <c r="S43" s="17" t="s">
        <v>40</v>
      </c>
      <c r="T43" s="24" t="s">
        <v>39</v>
      </c>
    </row>
    <row r="44" spans="1:20">
      <c r="A44" s="11">
        <v>16</v>
      </c>
      <c r="B44" s="12">
        <f t="shared" si="5"/>
        <v>43740</v>
      </c>
      <c r="C44" s="38">
        <f t="shared" si="6"/>
        <v>30</v>
      </c>
      <c r="D44" s="7">
        <f t="shared" si="0"/>
        <v>814501.3015560424</v>
      </c>
      <c r="E44" s="28">
        <f t="shared" si="1"/>
        <v>814501.3015560424</v>
      </c>
      <c r="F44" s="7">
        <f t="shared" si="9"/>
        <v>836390.9636180487</v>
      </c>
      <c r="G44" s="7">
        <f t="shared" si="2"/>
        <v>157950</v>
      </c>
      <c r="H44" s="7">
        <v>0</v>
      </c>
      <c r="I44" s="28">
        <f t="shared" si="3"/>
        <v>1650892.2651740911</v>
      </c>
      <c r="J44" s="28"/>
      <c r="K44" s="7">
        <f t="shared" si="4"/>
        <v>1808842.2651740911</v>
      </c>
      <c r="L44" s="28">
        <f t="shared" si="7"/>
        <v>40552289.145117514</v>
      </c>
      <c r="M44" s="28">
        <f t="shared" si="8"/>
        <v>40552289.145117514</v>
      </c>
      <c r="N44" s="31" t="s">
        <v>22</v>
      </c>
      <c r="O44" s="14"/>
      <c r="P44" s="14"/>
      <c r="R44" s="16"/>
      <c r="S44" s="17" t="s">
        <v>40</v>
      </c>
      <c r="T44" s="24" t="s">
        <v>39</v>
      </c>
    </row>
    <row r="45" spans="1:20">
      <c r="A45" s="11">
        <v>17</v>
      </c>
      <c r="B45" s="12">
        <f t="shared" si="5"/>
        <v>43771</v>
      </c>
      <c r="C45" s="38">
        <f t="shared" si="6"/>
        <v>30</v>
      </c>
      <c r="D45" s="7">
        <f t="shared" si="0"/>
        <v>831300.39090063563</v>
      </c>
      <c r="E45" s="28">
        <f t="shared" si="1"/>
        <v>831300.39090063563</v>
      </c>
      <c r="F45" s="7">
        <f t="shared" si="9"/>
        <v>819591.87427345547</v>
      </c>
      <c r="G45" s="7">
        <f t="shared" si="2"/>
        <v>157950</v>
      </c>
      <c r="H45" s="7">
        <v>0</v>
      </c>
      <c r="I45" s="28">
        <f t="shared" si="3"/>
        <v>1650892.2651740911</v>
      </c>
      <c r="J45" s="28"/>
      <c r="K45" s="7">
        <f t="shared" si="4"/>
        <v>1808842.2651740911</v>
      </c>
      <c r="L45" s="28">
        <f t="shared" si="7"/>
        <v>39737787.843561471</v>
      </c>
      <c r="M45" s="28">
        <f t="shared" si="8"/>
        <v>39737787.843561471</v>
      </c>
      <c r="N45" s="31" t="s">
        <v>22</v>
      </c>
      <c r="O45" s="14"/>
      <c r="P45" s="14"/>
      <c r="R45" s="16"/>
      <c r="S45" s="17" t="s">
        <v>40</v>
      </c>
      <c r="T45" s="24" t="s">
        <v>39</v>
      </c>
    </row>
    <row r="46" spans="1:20">
      <c r="A46" s="11">
        <v>18</v>
      </c>
      <c r="B46" s="12">
        <f t="shared" si="5"/>
        <v>43801</v>
      </c>
      <c r="C46" s="38">
        <f t="shared" si="6"/>
        <v>30</v>
      </c>
      <c r="D46" s="7">
        <f t="shared" si="0"/>
        <v>848445.96146296116</v>
      </c>
      <c r="E46" s="28">
        <f t="shared" si="1"/>
        <v>848445.96146296116</v>
      </c>
      <c r="F46" s="7">
        <f t="shared" si="9"/>
        <v>802446.30371112993</v>
      </c>
      <c r="G46" s="7">
        <f t="shared" si="2"/>
        <v>157950</v>
      </c>
      <c r="H46" s="7">
        <v>0</v>
      </c>
      <c r="I46" s="28">
        <f t="shared" si="3"/>
        <v>1650892.2651740911</v>
      </c>
      <c r="J46" s="28"/>
      <c r="K46" s="7">
        <f t="shared" si="4"/>
        <v>1808842.2651740911</v>
      </c>
      <c r="L46" s="28">
        <f t="shared" si="7"/>
        <v>38906487.452660836</v>
      </c>
      <c r="M46" s="28">
        <f t="shared" si="8"/>
        <v>38906487.452660836</v>
      </c>
      <c r="N46" s="31" t="s">
        <v>22</v>
      </c>
      <c r="O46" s="14"/>
      <c r="P46" s="14"/>
      <c r="R46" s="16"/>
      <c r="S46" s="17" t="s">
        <v>40</v>
      </c>
      <c r="T46" s="24" t="s">
        <v>39</v>
      </c>
    </row>
    <row r="47" spans="1:20">
      <c r="A47" s="11">
        <v>19</v>
      </c>
      <c r="B47" s="12">
        <f t="shared" si="5"/>
        <v>43832</v>
      </c>
      <c r="C47" s="38">
        <f t="shared" si="6"/>
        <v>30</v>
      </c>
      <c r="D47" s="7">
        <f t="shared" si="0"/>
        <v>865945.15941813483</v>
      </c>
      <c r="E47" s="28">
        <f t="shared" si="1"/>
        <v>865945.15941813483</v>
      </c>
      <c r="F47" s="7">
        <f t="shared" si="9"/>
        <v>784947.10575595626</v>
      </c>
      <c r="G47" s="7">
        <f t="shared" si="2"/>
        <v>157950</v>
      </c>
      <c r="H47" s="7">
        <v>0</v>
      </c>
      <c r="I47" s="28">
        <f t="shared" si="3"/>
        <v>1650892.2651740911</v>
      </c>
      <c r="J47" s="28"/>
      <c r="K47" s="7">
        <f t="shared" si="4"/>
        <v>1808842.2651740911</v>
      </c>
      <c r="L47" s="28">
        <f t="shared" si="7"/>
        <v>38058041.491197877</v>
      </c>
      <c r="M47" s="28">
        <f t="shared" si="8"/>
        <v>38058041.491197877</v>
      </c>
      <c r="N47" s="31" t="s">
        <v>22</v>
      </c>
      <c r="O47" s="14"/>
      <c r="P47" s="14"/>
      <c r="R47" s="16"/>
      <c r="S47" s="17" t="s">
        <v>40</v>
      </c>
      <c r="T47" s="24" t="s">
        <v>39</v>
      </c>
    </row>
    <row r="48" spans="1:20">
      <c r="A48" s="11">
        <v>20</v>
      </c>
      <c r="B48" s="12">
        <f t="shared" si="5"/>
        <v>43863</v>
      </c>
      <c r="C48" s="38">
        <f t="shared" si="6"/>
        <v>30</v>
      </c>
      <c r="D48" s="7">
        <f t="shared" si="0"/>
        <v>883805.278331134</v>
      </c>
      <c r="E48" s="28">
        <f t="shared" si="1"/>
        <v>883805.278331134</v>
      </c>
      <c r="F48" s="7">
        <f t="shared" si="9"/>
        <v>767086.98684295709</v>
      </c>
      <c r="G48" s="7">
        <f t="shared" si="2"/>
        <v>157950</v>
      </c>
      <c r="H48" s="7">
        <v>0</v>
      </c>
      <c r="I48" s="28">
        <f t="shared" si="3"/>
        <v>1650892.2651740911</v>
      </c>
      <c r="J48" s="28"/>
      <c r="K48" s="7">
        <f t="shared" si="4"/>
        <v>1808842.2651740911</v>
      </c>
      <c r="L48" s="28">
        <f t="shared" si="7"/>
        <v>37192096.331779741</v>
      </c>
      <c r="M48" s="28">
        <f t="shared" si="8"/>
        <v>37192096.331779741</v>
      </c>
      <c r="N48" s="31" t="s">
        <v>22</v>
      </c>
      <c r="O48" s="14"/>
      <c r="P48" s="14"/>
      <c r="R48" s="16"/>
      <c r="S48" s="17" t="s">
        <v>40</v>
      </c>
      <c r="T48" s="24" t="s">
        <v>39</v>
      </c>
    </row>
    <row r="49" spans="1:20">
      <c r="A49" s="11">
        <v>21</v>
      </c>
      <c r="B49" s="12">
        <f t="shared" si="5"/>
        <v>43892</v>
      </c>
      <c r="C49" s="38">
        <f t="shared" si="6"/>
        <v>30</v>
      </c>
      <c r="D49" s="7">
        <f t="shared" si="0"/>
        <v>902033.76219671359</v>
      </c>
      <c r="E49" s="28">
        <f t="shared" si="1"/>
        <v>902033.76219671359</v>
      </c>
      <c r="F49" s="7">
        <f t="shared" si="9"/>
        <v>748858.5029773775</v>
      </c>
      <c r="G49" s="7">
        <f t="shared" si="2"/>
        <v>157950</v>
      </c>
      <c r="H49" s="7">
        <v>0</v>
      </c>
      <c r="I49" s="28">
        <f t="shared" si="3"/>
        <v>1650892.2651740911</v>
      </c>
      <c r="J49" s="28"/>
      <c r="K49" s="7">
        <f t="shared" si="4"/>
        <v>1808842.2651740911</v>
      </c>
      <c r="L49" s="28">
        <f t="shared" si="7"/>
        <v>36308291.05344861</v>
      </c>
      <c r="M49" s="28">
        <f t="shared" si="8"/>
        <v>36308291.05344861</v>
      </c>
      <c r="N49" s="31" t="s">
        <v>22</v>
      </c>
      <c r="O49" s="14"/>
      <c r="P49" s="14"/>
      <c r="R49" s="16"/>
      <c r="S49" s="17" t="s">
        <v>40</v>
      </c>
      <c r="T49" s="24" t="s">
        <v>39</v>
      </c>
    </row>
    <row r="50" spans="1:20">
      <c r="A50" s="11">
        <v>22</v>
      </c>
      <c r="B50" s="12">
        <f t="shared" si="5"/>
        <v>43923</v>
      </c>
      <c r="C50" s="38">
        <f t="shared" si="6"/>
        <v>30</v>
      </c>
      <c r="D50" s="7">
        <f t="shared" si="0"/>
        <v>920638.20854202076</v>
      </c>
      <c r="E50" s="28">
        <f t="shared" si="1"/>
        <v>920638.20854202076</v>
      </c>
      <c r="F50" s="7">
        <f t="shared" si="9"/>
        <v>730254.05663207034</v>
      </c>
      <c r="G50" s="7">
        <f t="shared" si="2"/>
        <v>157950</v>
      </c>
      <c r="H50" s="7">
        <v>0</v>
      </c>
      <c r="I50" s="28">
        <f t="shared" si="3"/>
        <v>1650892.2651740911</v>
      </c>
      <c r="J50" s="28"/>
      <c r="K50" s="7">
        <f t="shared" si="4"/>
        <v>1808842.2651740911</v>
      </c>
      <c r="L50" s="28">
        <f t="shared" si="7"/>
        <v>35406257.291251898</v>
      </c>
      <c r="M50" s="28">
        <f t="shared" si="8"/>
        <v>35406257.291251898</v>
      </c>
      <c r="N50" s="31" t="s">
        <v>22</v>
      </c>
      <c r="O50" s="14"/>
      <c r="P50" s="14"/>
      <c r="R50" s="16"/>
      <c r="S50" s="17" t="s">
        <v>40</v>
      </c>
      <c r="T50" s="24" t="s">
        <v>39</v>
      </c>
    </row>
    <row r="51" spans="1:20">
      <c r="A51" s="11">
        <v>23</v>
      </c>
      <c r="B51" s="12">
        <f t="shared" si="5"/>
        <v>43953</v>
      </c>
      <c r="C51" s="38">
        <f t="shared" si="6"/>
        <v>30</v>
      </c>
      <c r="D51" s="7">
        <f t="shared" si="0"/>
        <v>939626.3715931999</v>
      </c>
      <c r="E51" s="28">
        <f t="shared" si="1"/>
        <v>939626.3715931999</v>
      </c>
      <c r="F51" s="7">
        <f t="shared" si="9"/>
        <v>711265.89358089119</v>
      </c>
      <c r="G51" s="7">
        <f t="shared" si="2"/>
        <v>157950</v>
      </c>
      <c r="H51" s="7">
        <v>0</v>
      </c>
      <c r="I51" s="28">
        <f t="shared" si="3"/>
        <v>1650892.2651740911</v>
      </c>
      <c r="J51" s="28"/>
      <c r="K51" s="7">
        <f t="shared" si="4"/>
        <v>1808842.2651740911</v>
      </c>
      <c r="L51" s="28">
        <f t="shared" si="7"/>
        <v>34485619.082709879</v>
      </c>
      <c r="M51" s="28">
        <f t="shared" si="8"/>
        <v>34485619.082709879</v>
      </c>
      <c r="N51" s="31" t="s">
        <v>22</v>
      </c>
      <c r="O51" s="14"/>
      <c r="P51" s="14"/>
      <c r="R51" s="16"/>
      <c r="S51" s="17" t="s">
        <v>40</v>
      </c>
      <c r="T51" s="24" t="s">
        <v>39</v>
      </c>
    </row>
    <row r="52" spans="1:20">
      <c r="A52" s="11">
        <v>24</v>
      </c>
      <c r="B52" s="12">
        <f t="shared" si="5"/>
        <v>43984</v>
      </c>
      <c r="C52" s="38">
        <f t="shared" si="6"/>
        <v>30</v>
      </c>
      <c r="D52" s="7">
        <f t="shared" si="0"/>
        <v>959006.1655073096</v>
      </c>
      <c r="E52" s="28">
        <f t="shared" si="1"/>
        <v>959006.1655073096</v>
      </c>
      <c r="F52" s="7">
        <f t="shared" si="9"/>
        <v>691886.09966678149</v>
      </c>
      <c r="G52" s="7">
        <f t="shared" si="2"/>
        <v>157950</v>
      </c>
      <c r="H52" s="7">
        <v>0</v>
      </c>
      <c r="I52" s="28">
        <f t="shared" si="3"/>
        <v>1650892.2651740911</v>
      </c>
      <c r="J52" s="28"/>
      <c r="K52" s="7">
        <f t="shared" si="4"/>
        <v>1808842.2651740911</v>
      </c>
      <c r="L52" s="28">
        <f t="shared" si="7"/>
        <v>33545992.711116679</v>
      </c>
      <c r="M52" s="28">
        <f t="shared" si="8"/>
        <v>33545992.711116679</v>
      </c>
      <c r="N52" s="31" t="s">
        <v>22</v>
      </c>
      <c r="O52" s="14"/>
      <c r="P52" s="14"/>
      <c r="R52" s="16"/>
      <c r="S52" s="17" t="s">
        <v>40</v>
      </c>
      <c r="T52" s="24" t="s">
        <v>39</v>
      </c>
    </row>
    <row r="53" spans="1:20">
      <c r="A53" s="11">
        <v>25</v>
      </c>
      <c r="B53" s="12">
        <f t="shared" si="5"/>
        <v>44014</v>
      </c>
      <c r="C53" s="38">
        <f t="shared" si="6"/>
        <v>30</v>
      </c>
      <c r="D53" s="7">
        <f t="shared" si="0"/>
        <v>978785.66767089779</v>
      </c>
      <c r="E53" s="28">
        <f t="shared" si="1"/>
        <v>978785.66767089779</v>
      </c>
      <c r="F53" s="7">
        <f t="shared" si="9"/>
        <v>672106.5975031933</v>
      </c>
      <c r="G53" s="7">
        <f t="shared" si="2"/>
        <v>157950</v>
      </c>
      <c r="H53" s="7">
        <v>0</v>
      </c>
      <c r="I53" s="28">
        <f t="shared" si="3"/>
        <v>1650892.2651740911</v>
      </c>
      <c r="J53" s="28"/>
      <c r="K53" s="7">
        <f t="shared" si="4"/>
        <v>1808842.2651740911</v>
      </c>
      <c r="L53" s="28">
        <f t="shared" si="7"/>
        <v>32586986.54560937</v>
      </c>
      <c r="M53" s="28">
        <f t="shared" si="8"/>
        <v>32586986.54560937</v>
      </c>
      <c r="N53" s="31" t="s">
        <v>22</v>
      </c>
      <c r="O53" s="14"/>
      <c r="P53" s="14"/>
      <c r="R53" s="16"/>
      <c r="S53" s="17" t="s">
        <v>40</v>
      </c>
      <c r="T53" s="24" t="s">
        <v>39</v>
      </c>
    </row>
    <row r="54" spans="1:20">
      <c r="A54" s="11">
        <v>26</v>
      </c>
      <c r="B54" s="12">
        <f t="shared" si="5"/>
        <v>44045</v>
      </c>
      <c r="C54" s="38">
        <f t="shared" si="6"/>
        <v>30</v>
      </c>
      <c r="D54" s="7">
        <f t="shared" si="0"/>
        <v>998973.12206661014</v>
      </c>
      <c r="E54" s="28">
        <f t="shared" si="1"/>
        <v>998973.12206661014</v>
      </c>
      <c r="F54" s="7">
        <f t="shared" si="9"/>
        <v>651919.14310748095</v>
      </c>
      <c r="G54" s="7">
        <f t="shared" si="2"/>
        <v>157950</v>
      </c>
      <c r="H54" s="7">
        <v>0</v>
      </c>
      <c r="I54" s="28">
        <f t="shared" si="3"/>
        <v>1650892.2651740911</v>
      </c>
      <c r="J54" s="28"/>
      <c r="K54" s="7">
        <f t="shared" si="4"/>
        <v>1808842.2651740911</v>
      </c>
      <c r="L54" s="28">
        <f t="shared" si="7"/>
        <v>31608200.877938472</v>
      </c>
      <c r="M54" s="28">
        <f t="shared" si="8"/>
        <v>31608200.877938472</v>
      </c>
      <c r="N54" s="31" t="s">
        <v>22</v>
      </c>
      <c r="O54" s="14"/>
      <c r="P54" s="14"/>
      <c r="R54" s="16"/>
      <c r="S54" s="17" t="s">
        <v>40</v>
      </c>
      <c r="T54" s="24" t="s">
        <v>39</v>
      </c>
    </row>
    <row r="55" spans="1:20">
      <c r="A55" s="11">
        <v>27</v>
      </c>
      <c r="B55" s="12">
        <f t="shared" si="5"/>
        <v>44076</v>
      </c>
      <c r="C55" s="38">
        <f t="shared" si="6"/>
        <v>30</v>
      </c>
      <c r="D55" s="7">
        <f t="shared" si="0"/>
        <v>1019576.942709234</v>
      </c>
      <c r="E55" s="28">
        <f t="shared" si="1"/>
        <v>1019576.942709234</v>
      </c>
      <c r="F55" s="7">
        <f t="shared" si="9"/>
        <v>631315.32246485713</v>
      </c>
      <c r="G55" s="7">
        <f t="shared" si="2"/>
        <v>157950</v>
      </c>
      <c r="H55" s="7">
        <v>0</v>
      </c>
      <c r="I55" s="28">
        <f t="shared" si="3"/>
        <v>1650892.2651740911</v>
      </c>
      <c r="J55" s="28"/>
      <c r="K55" s="7">
        <f t="shared" si="4"/>
        <v>1808842.2651740911</v>
      </c>
      <c r="L55" s="28">
        <f t="shared" si="7"/>
        <v>30609227.755871862</v>
      </c>
      <c r="M55" s="28">
        <f t="shared" si="8"/>
        <v>30609227.755871862</v>
      </c>
      <c r="N55" s="31" t="s">
        <v>22</v>
      </c>
      <c r="O55" s="14"/>
      <c r="P55" s="14"/>
      <c r="R55" s="16"/>
      <c r="S55" s="17" t="s">
        <v>40</v>
      </c>
      <c r="T55" s="24" t="s">
        <v>39</v>
      </c>
    </row>
    <row r="56" spans="1:20">
      <c r="A56" s="11">
        <v>28</v>
      </c>
      <c r="B56" s="12">
        <f t="shared" si="5"/>
        <v>44106</v>
      </c>
      <c r="C56" s="38">
        <f t="shared" si="6"/>
        <v>30</v>
      </c>
      <c r="D56" s="7">
        <f t="shared" si="0"/>
        <v>1040605.7171526119</v>
      </c>
      <c r="E56" s="28">
        <f t="shared" si="1"/>
        <v>1040605.7171526119</v>
      </c>
      <c r="F56" s="7">
        <f t="shared" si="9"/>
        <v>610286.54802147916</v>
      </c>
      <c r="G56" s="7">
        <f t="shared" si="2"/>
        <v>157950</v>
      </c>
      <c r="H56" s="7">
        <v>0</v>
      </c>
      <c r="I56" s="28">
        <f t="shared" si="3"/>
        <v>1650892.2651740911</v>
      </c>
      <c r="J56" s="28"/>
      <c r="K56" s="7">
        <f t="shared" si="4"/>
        <v>1808842.2651740911</v>
      </c>
      <c r="L56" s="28">
        <f t="shared" si="7"/>
        <v>29589650.813162629</v>
      </c>
      <c r="M56" s="28">
        <f t="shared" si="8"/>
        <v>29589650.813162629</v>
      </c>
      <c r="N56" s="31" t="s">
        <v>22</v>
      </c>
      <c r="O56" s="14"/>
      <c r="P56" s="14"/>
      <c r="R56" s="16"/>
      <c r="S56" s="17" t="s">
        <v>40</v>
      </c>
      <c r="T56" s="24" t="s">
        <v>39</v>
      </c>
    </row>
    <row r="57" spans="1:20">
      <c r="A57" s="11">
        <v>29</v>
      </c>
      <c r="B57" s="12">
        <f t="shared" si="5"/>
        <v>44137</v>
      </c>
      <c r="C57" s="38">
        <f t="shared" si="6"/>
        <v>30</v>
      </c>
      <c r="D57" s="7">
        <f t="shared" si="0"/>
        <v>1062068.2100688843</v>
      </c>
      <c r="E57" s="28">
        <f t="shared" si="1"/>
        <v>1062068.2100688843</v>
      </c>
      <c r="F57" s="7">
        <f t="shared" si="9"/>
        <v>588824.05510520667</v>
      </c>
      <c r="G57" s="7">
        <f t="shared" si="2"/>
        <v>157950</v>
      </c>
      <c r="H57" s="7">
        <v>0</v>
      </c>
      <c r="I57" s="28">
        <f t="shared" si="3"/>
        <v>1650892.2651740911</v>
      </c>
      <c r="J57" s="28"/>
      <c r="K57" s="7">
        <f t="shared" si="4"/>
        <v>1808842.2651740911</v>
      </c>
      <c r="L57" s="28">
        <f t="shared" si="7"/>
        <v>28549045.096010018</v>
      </c>
      <c r="M57" s="28">
        <f t="shared" si="8"/>
        <v>28549045.096010018</v>
      </c>
      <c r="N57" s="31" t="s">
        <v>22</v>
      </c>
      <c r="O57" s="14"/>
      <c r="P57" s="14"/>
      <c r="R57" s="16"/>
      <c r="S57" s="17" t="s">
        <v>40</v>
      </c>
      <c r="T57" s="24" t="s">
        <v>39</v>
      </c>
    </row>
    <row r="58" spans="1:20">
      <c r="A58" s="11">
        <v>30</v>
      </c>
      <c r="B58" s="12">
        <f t="shared" si="5"/>
        <v>44167</v>
      </c>
      <c r="C58" s="38">
        <f t="shared" si="6"/>
        <v>30</v>
      </c>
      <c r="D58" s="7">
        <f t="shared" si="0"/>
        <v>1083973.3669015551</v>
      </c>
      <c r="E58" s="28">
        <f t="shared" si="1"/>
        <v>1083973.3669015551</v>
      </c>
      <c r="F58" s="7">
        <f t="shared" si="9"/>
        <v>566918.89827253588</v>
      </c>
      <c r="G58" s="7">
        <f t="shared" si="2"/>
        <v>157950</v>
      </c>
      <c r="H58" s="7">
        <v>0</v>
      </c>
      <c r="I58" s="28">
        <f t="shared" si="3"/>
        <v>1650892.2651740911</v>
      </c>
      <c r="J58" s="28"/>
      <c r="K58" s="7">
        <f t="shared" si="4"/>
        <v>1808842.2651740911</v>
      </c>
      <c r="L58" s="28">
        <f t="shared" si="7"/>
        <v>27486976.885941133</v>
      </c>
      <c r="M58" s="28">
        <f t="shared" si="8"/>
        <v>27486976.885941133</v>
      </c>
      <c r="N58" s="31" t="s">
        <v>22</v>
      </c>
      <c r="O58" s="14"/>
      <c r="P58" s="14"/>
      <c r="R58" s="16"/>
      <c r="S58" s="17" t="s">
        <v>40</v>
      </c>
      <c r="T58" s="24" t="s">
        <v>39</v>
      </c>
    </row>
    <row r="59" spans="1:20">
      <c r="A59" s="11">
        <v>31</v>
      </c>
      <c r="B59" s="12">
        <f t="shared" si="5"/>
        <v>44198</v>
      </c>
      <c r="C59" s="38">
        <f t="shared" si="6"/>
        <v>30</v>
      </c>
      <c r="D59" s="7">
        <f t="shared" si="0"/>
        <v>1106330.3175938998</v>
      </c>
      <c r="E59" s="28">
        <f t="shared" si="1"/>
        <v>1106330.3175938998</v>
      </c>
      <c r="F59" s="7">
        <f t="shared" si="9"/>
        <v>544561.94758019131</v>
      </c>
      <c r="G59" s="7">
        <f t="shared" si="2"/>
        <v>157950</v>
      </c>
      <c r="H59" s="7">
        <v>0</v>
      </c>
      <c r="I59" s="28">
        <f t="shared" si="3"/>
        <v>1650892.2651740911</v>
      </c>
      <c r="J59" s="28"/>
      <c r="K59" s="7">
        <f t="shared" si="4"/>
        <v>1808842.2651740911</v>
      </c>
      <c r="L59" s="28">
        <f t="shared" si="7"/>
        <v>26403003.519039579</v>
      </c>
      <c r="M59" s="28">
        <f t="shared" si="8"/>
        <v>26403003.519039579</v>
      </c>
      <c r="N59" s="31" t="s">
        <v>22</v>
      </c>
      <c r="O59" s="14"/>
      <c r="P59" s="14"/>
      <c r="R59" s="16"/>
      <c r="S59" s="17" t="s">
        <v>40</v>
      </c>
      <c r="T59" s="24" t="s">
        <v>39</v>
      </c>
    </row>
    <row r="60" spans="1:20">
      <c r="A60" s="11">
        <v>32</v>
      </c>
      <c r="B60" s="12">
        <f t="shared" si="5"/>
        <v>44229</v>
      </c>
      <c r="C60" s="38">
        <f t="shared" si="6"/>
        <v>30</v>
      </c>
      <c r="D60" s="7">
        <f t="shared" si="0"/>
        <v>1129148.3803942739</v>
      </c>
      <c r="E60" s="28">
        <f t="shared" si="1"/>
        <v>1129148.3803942739</v>
      </c>
      <c r="F60" s="7">
        <f t="shared" si="9"/>
        <v>521743.88477981713</v>
      </c>
      <c r="G60" s="7">
        <f t="shared" si="2"/>
        <v>157950</v>
      </c>
      <c r="H60" s="7">
        <v>0</v>
      </c>
      <c r="I60" s="28">
        <f t="shared" si="3"/>
        <v>1650892.2651740911</v>
      </c>
      <c r="J60" s="28"/>
      <c r="K60" s="7">
        <f t="shared" si="4"/>
        <v>1808842.2651740911</v>
      </c>
      <c r="L60" s="28">
        <f t="shared" si="7"/>
        <v>25296673.20144568</v>
      </c>
      <c r="M60" s="28">
        <f t="shared" si="8"/>
        <v>25296673.20144568</v>
      </c>
      <c r="N60" s="31" t="s">
        <v>22</v>
      </c>
      <c r="O60" s="14"/>
      <c r="P60" s="14"/>
      <c r="R60" s="16"/>
      <c r="S60" s="17" t="s">
        <v>40</v>
      </c>
      <c r="T60" s="24" t="s">
        <v>39</v>
      </c>
    </row>
    <row r="61" spans="1:20">
      <c r="A61" s="11">
        <v>33</v>
      </c>
      <c r="B61" s="12">
        <f t="shared" si="5"/>
        <v>44257</v>
      </c>
      <c r="C61" s="38">
        <f t="shared" si="6"/>
        <v>30</v>
      </c>
      <c r="D61" s="7">
        <f t="shared" ref="D61:D90" si="10">+IF(IF(A61&gt;$N$17,"",I61-F61)&lt;0,0,IF(A61&gt;$N$17,"",I61-F61))</f>
        <v>1152437.0657399059</v>
      </c>
      <c r="E61" s="28">
        <f t="shared" si="1"/>
        <v>1152437.0657399059</v>
      </c>
      <c r="F61" s="7">
        <f t="shared" si="9"/>
        <v>498455.19943418528</v>
      </c>
      <c r="G61" s="7">
        <f t="shared" ref="G61:G88" si="11">IF(A61&gt;$N$17,"",ROUNDUP($N$16*$M$22/$N$22,0))</f>
        <v>157950</v>
      </c>
      <c r="H61" s="7">
        <v>0</v>
      </c>
      <c r="I61" s="28">
        <f t="shared" ref="I61:I88" si="12">IF(A61&gt;$N$17,"",PMT($N$19,$N$17,-$N$16))</f>
        <v>1650892.2651740911</v>
      </c>
      <c r="J61" s="28"/>
      <c r="K61" s="7">
        <f t="shared" ref="K61:K88" si="13">IF(A61&gt;$N$17,"",I61+G61)</f>
        <v>1808842.2651740911</v>
      </c>
      <c r="L61" s="28">
        <f t="shared" si="7"/>
        <v>24167524.821051408</v>
      </c>
      <c r="M61" s="28">
        <f t="shared" si="8"/>
        <v>24167524.821051408</v>
      </c>
      <c r="N61" s="31" t="s">
        <v>22</v>
      </c>
      <c r="O61" s="14"/>
      <c r="P61" s="14"/>
      <c r="R61" s="16"/>
      <c r="S61" s="17" t="s">
        <v>40</v>
      </c>
      <c r="T61" s="24" t="s">
        <v>39</v>
      </c>
    </row>
    <row r="62" spans="1:20">
      <c r="A62" s="11">
        <v>34</v>
      </c>
      <c r="B62" s="12">
        <f t="shared" ref="B62:B88" si="14">+IF(A62&gt;$N$17,"",EDATE(B61,1))</f>
        <v>44288</v>
      </c>
      <c r="C62" s="38">
        <f t="shared" ref="C62:C88" si="15">+IF(A62&gt;$N$17,"",30)</f>
        <v>30</v>
      </c>
      <c r="D62" s="7">
        <f t="shared" si="10"/>
        <v>1176206.0802207915</v>
      </c>
      <c r="E62" s="28">
        <f t="shared" si="1"/>
        <v>1176206.0802207915</v>
      </c>
      <c r="F62" s="7">
        <f t="shared" si="9"/>
        <v>474686.18495329964</v>
      </c>
      <c r="G62" s="7">
        <f t="shared" si="11"/>
        <v>157950</v>
      </c>
      <c r="H62" s="7">
        <v>0</v>
      </c>
      <c r="I62" s="28">
        <f t="shared" si="12"/>
        <v>1650892.2651740911</v>
      </c>
      <c r="J62" s="28"/>
      <c r="K62" s="7">
        <f t="shared" si="13"/>
        <v>1808842.2651740911</v>
      </c>
      <c r="L62" s="28">
        <f t="shared" ref="L62:L88" si="16">IF(A62&gt;$N$17,"",IF(D61&gt;0,L61-D61,L61))</f>
        <v>23015087.7553115</v>
      </c>
      <c r="M62" s="28">
        <f t="shared" ref="M62:M88" si="17">IF(A62&gt;$N$17,"",IF(D61&gt;0,L61-D61,L61))</f>
        <v>23015087.7553115</v>
      </c>
      <c r="N62" s="31" t="s">
        <v>22</v>
      </c>
      <c r="O62" s="14"/>
      <c r="P62" s="14"/>
      <c r="R62" s="16"/>
      <c r="S62" s="17" t="s">
        <v>40</v>
      </c>
      <c r="T62" s="24" t="s">
        <v>39</v>
      </c>
    </row>
    <row r="63" spans="1:20">
      <c r="A63" s="11">
        <v>35</v>
      </c>
      <c r="B63" s="12">
        <f t="shared" si="14"/>
        <v>44318</v>
      </c>
      <c r="C63" s="38">
        <f t="shared" si="15"/>
        <v>30</v>
      </c>
      <c r="D63" s="7">
        <f t="shared" si="10"/>
        <v>1200465.3306253452</v>
      </c>
      <c r="E63" s="28">
        <f t="shared" si="1"/>
        <v>1200465.3306253452</v>
      </c>
      <c r="F63" s="7">
        <f t="shared" ref="F63:F88" si="18">IF(A63&gt;$N$17,"",IF(D62&lt;=0,(L63*$N$18*C63/360)-D62,L63*$N$18*C63/360))</f>
        <v>450426.93454874586</v>
      </c>
      <c r="G63" s="7">
        <f t="shared" si="11"/>
        <v>157950</v>
      </c>
      <c r="H63" s="7">
        <v>0</v>
      </c>
      <c r="I63" s="28">
        <f t="shared" si="12"/>
        <v>1650892.2651740911</v>
      </c>
      <c r="J63" s="28"/>
      <c r="K63" s="7">
        <f t="shared" si="13"/>
        <v>1808842.2651740911</v>
      </c>
      <c r="L63" s="28">
        <f t="shared" si="16"/>
        <v>21838881.675090708</v>
      </c>
      <c r="M63" s="28">
        <f t="shared" si="17"/>
        <v>21838881.675090708</v>
      </c>
      <c r="N63" s="31" t="s">
        <v>22</v>
      </c>
      <c r="O63" s="14"/>
      <c r="P63" s="14"/>
      <c r="R63" s="16"/>
      <c r="S63" s="17" t="s">
        <v>40</v>
      </c>
      <c r="T63" s="24" t="s">
        <v>39</v>
      </c>
    </row>
    <row r="64" spans="1:20">
      <c r="A64" s="11">
        <v>36</v>
      </c>
      <c r="B64" s="12">
        <f t="shared" si="14"/>
        <v>44349</v>
      </c>
      <c r="C64" s="38">
        <f t="shared" si="15"/>
        <v>30</v>
      </c>
      <c r="D64" s="7">
        <f t="shared" si="10"/>
        <v>1225224.928069493</v>
      </c>
      <c r="E64" s="28">
        <f t="shared" si="1"/>
        <v>1225224.928069493</v>
      </c>
      <c r="F64" s="7">
        <f t="shared" si="18"/>
        <v>425667.33710459812</v>
      </c>
      <c r="G64" s="7">
        <f t="shared" si="11"/>
        <v>157950</v>
      </c>
      <c r="H64" s="7">
        <v>0</v>
      </c>
      <c r="I64" s="28">
        <f t="shared" si="12"/>
        <v>1650892.2651740911</v>
      </c>
      <c r="J64" s="28"/>
      <c r="K64" s="7">
        <f t="shared" si="13"/>
        <v>1808842.2651740911</v>
      </c>
      <c r="L64" s="28">
        <f t="shared" si="16"/>
        <v>20638416.344465364</v>
      </c>
      <c r="M64" s="28">
        <f t="shared" si="17"/>
        <v>20638416.344465364</v>
      </c>
      <c r="N64" s="31" t="s">
        <v>22</v>
      </c>
      <c r="O64" s="14"/>
      <c r="P64" s="14"/>
      <c r="R64" s="16"/>
      <c r="S64" s="17" t="s">
        <v>40</v>
      </c>
      <c r="T64" s="24" t="s">
        <v>39</v>
      </c>
    </row>
    <row r="65" spans="1:20">
      <c r="A65" s="11">
        <v>37</v>
      </c>
      <c r="B65" s="12">
        <f t="shared" si="14"/>
        <v>44379</v>
      </c>
      <c r="C65" s="38">
        <f t="shared" si="15"/>
        <v>30</v>
      </c>
      <c r="D65" s="7">
        <f t="shared" si="10"/>
        <v>1250495.1922109262</v>
      </c>
      <c r="E65" s="28">
        <f t="shared" si="1"/>
        <v>1250495.1922109262</v>
      </c>
      <c r="F65" s="7">
        <f t="shared" si="18"/>
        <v>400397.07296316483</v>
      </c>
      <c r="G65" s="7">
        <f t="shared" si="11"/>
        <v>157950</v>
      </c>
      <c r="H65" s="7">
        <v>0</v>
      </c>
      <c r="I65" s="28">
        <f t="shared" si="12"/>
        <v>1650892.2651740911</v>
      </c>
      <c r="J65" s="28"/>
      <c r="K65" s="7">
        <f t="shared" si="13"/>
        <v>1808842.2651740911</v>
      </c>
      <c r="L65" s="28">
        <f t="shared" si="16"/>
        <v>19413191.416395869</v>
      </c>
      <c r="M65" s="28">
        <f t="shared" si="17"/>
        <v>19413191.416395869</v>
      </c>
      <c r="N65" s="31" t="s">
        <v>22</v>
      </c>
      <c r="O65" s="14"/>
      <c r="P65" s="14"/>
      <c r="R65" s="16"/>
      <c r="S65" s="17" t="s">
        <v>40</v>
      </c>
      <c r="T65" s="24" t="s">
        <v>39</v>
      </c>
    </row>
    <row r="66" spans="1:20">
      <c r="A66" s="11">
        <v>38</v>
      </c>
      <c r="B66" s="12">
        <f t="shared" si="14"/>
        <v>44410</v>
      </c>
      <c r="C66" s="38">
        <f t="shared" si="15"/>
        <v>30</v>
      </c>
      <c r="D66" s="7">
        <f t="shared" si="10"/>
        <v>1276286.6555502769</v>
      </c>
      <c r="E66" s="28">
        <f t="shared" si="1"/>
        <v>1276286.6555502769</v>
      </c>
      <c r="F66" s="7">
        <f t="shared" si="18"/>
        <v>374605.60962381435</v>
      </c>
      <c r="G66" s="7">
        <f t="shared" si="11"/>
        <v>157950</v>
      </c>
      <c r="H66" s="7">
        <v>0</v>
      </c>
      <c r="I66" s="28">
        <f t="shared" si="12"/>
        <v>1650892.2651740911</v>
      </c>
      <c r="J66" s="28"/>
      <c r="K66" s="7">
        <f t="shared" si="13"/>
        <v>1808842.2651740911</v>
      </c>
      <c r="L66" s="28">
        <f t="shared" si="16"/>
        <v>18162696.224184942</v>
      </c>
      <c r="M66" s="28">
        <f t="shared" si="17"/>
        <v>18162696.224184942</v>
      </c>
      <c r="N66" s="31" t="s">
        <v>22</v>
      </c>
      <c r="O66" s="14"/>
      <c r="P66" s="14"/>
      <c r="R66" s="16"/>
      <c r="S66" s="17" t="s">
        <v>40</v>
      </c>
      <c r="T66" s="24" t="s">
        <v>39</v>
      </c>
    </row>
    <row r="67" spans="1:20">
      <c r="A67" s="11">
        <v>39</v>
      </c>
      <c r="B67" s="12">
        <f t="shared" si="14"/>
        <v>44441</v>
      </c>
      <c r="C67" s="38">
        <f t="shared" si="15"/>
        <v>30</v>
      </c>
      <c r="D67" s="7">
        <f t="shared" si="10"/>
        <v>1302610.0678210012</v>
      </c>
      <c r="E67" s="28">
        <f t="shared" si="1"/>
        <v>1302610.0678210012</v>
      </c>
      <c r="F67" s="7">
        <f t="shared" si="18"/>
        <v>348282.19735309004</v>
      </c>
      <c r="G67" s="7">
        <f t="shared" si="11"/>
        <v>157950</v>
      </c>
      <c r="H67" s="7">
        <v>0</v>
      </c>
      <c r="I67" s="28">
        <f t="shared" si="12"/>
        <v>1650892.2651740911</v>
      </c>
      <c r="J67" s="28"/>
      <c r="K67" s="7">
        <f t="shared" si="13"/>
        <v>1808842.2651740911</v>
      </c>
      <c r="L67" s="28">
        <f t="shared" si="16"/>
        <v>16886409.568634667</v>
      </c>
      <c r="M67" s="28">
        <f t="shared" si="17"/>
        <v>16886409.568634667</v>
      </c>
      <c r="N67" s="31" t="s">
        <v>22</v>
      </c>
      <c r="R67" s="16"/>
      <c r="S67" s="17" t="s">
        <v>40</v>
      </c>
      <c r="T67" s="24" t="s">
        <v>39</v>
      </c>
    </row>
    <row r="68" spans="1:20">
      <c r="A68" s="11">
        <v>40</v>
      </c>
      <c r="B68" s="12">
        <f t="shared" si="14"/>
        <v>44471</v>
      </c>
      <c r="C68" s="38">
        <f t="shared" si="15"/>
        <v>30</v>
      </c>
      <c r="D68" s="7">
        <f t="shared" si="10"/>
        <v>1329476.4004698093</v>
      </c>
      <c r="E68" s="28">
        <f t="shared" si="1"/>
        <v>1329476.4004698093</v>
      </c>
      <c r="F68" s="7">
        <f t="shared" si="18"/>
        <v>321415.86470428185</v>
      </c>
      <c r="G68" s="7">
        <f t="shared" si="11"/>
        <v>157950</v>
      </c>
      <c r="H68" s="7">
        <v>0</v>
      </c>
      <c r="I68" s="28">
        <f t="shared" si="12"/>
        <v>1650892.2651740911</v>
      </c>
      <c r="J68" s="28"/>
      <c r="K68" s="7">
        <f t="shared" si="13"/>
        <v>1808842.2651740911</v>
      </c>
      <c r="L68" s="28">
        <f t="shared" si="16"/>
        <v>15583799.500813665</v>
      </c>
      <c r="M68" s="28">
        <f t="shared" si="17"/>
        <v>15583799.500813665</v>
      </c>
      <c r="N68" s="31" t="s">
        <v>22</v>
      </c>
      <c r="R68" s="16"/>
      <c r="S68" s="17" t="s">
        <v>40</v>
      </c>
      <c r="T68" s="24" t="s">
        <v>39</v>
      </c>
    </row>
    <row r="69" spans="1:20">
      <c r="A69" s="11">
        <v>41</v>
      </c>
      <c r="B69" s="12">
        <f t="shared" si="14"/>
        <v>44502</v>
      </c>
      <c r="C69" s="38">
        <f t="shared" si="15"/>
        <v>30</v>
      </c>
      <c r="D69" s="7">
        <f t="shared" si="10"/>
        <v>1356896.8512294991</v>
      </c>
      <c r="E69" s="28">
        <f t="shared" si="1"/>
        <v>1356896.8512294991</v>
      </c>
      <c r="F69" s="7">
        <f t="shared" si="18"/>
        <v>293995.413944592</v>
      </c>
      <c r="G69" s="7">
        <f t="shared" si="11"/>
        <v>157950</v>
      </c>
      <c r="H69" s="7">
        <v>0</v>
      </c>
      <c r="I69" s="28">
        <f t="shared" si="12"/>
        <v>1650892.2651740911</v>
      </c>
      <c r="J69" s="28"/>
      <c r="K69" s="7">
        <f t="shared" si="13"/>
        <v>1808842.2651740911</v>
      </c>
      <c r="L69" s="28">
        <f t="shared" si="16"/>
        <v>14254323.100343855</v>
      </c>
      <c r="M69" s="28">
        <f t="shared" si="17"/>
        <v>14254323.100343855</v>
      </c>
      <c r="N69" s="31" t="s">
        <v>22</v>
      </c>
      <c r="R69" s="16"/>
      <c r="S69" s="17" t="s">
        <v>40</v>
      </c>
      <c r="T69" s="24" t="s">
        <v>39</v>
      </c>
    </row>
    <row r="70" spans="1:20">
      <c r="A70" s="11">
        <v>42</v>
      </c>
      <c r="B70" s="12">
        <f t="shared" si="14"/>
        <v>44532</v>
      </c>
      <c r="C70" s="38">
        <f t="shared" si="15"/>
        <v>30</v>
      </c>
      <c r="D70" s="7">
        <f t="shared" si="10"/>
        <v>1384882.8487861075</v>
      </c>
      <c r="E70" s="28">
        <f t="shared" si="1"/>
        <v>1384882.8487861075</v>
      </c>
      <c r="F70" s="7">
        <f t="shared" si="18"/>
        <v>266009.4163879836</v>
      </c>
      <c r="G70" s="7">
        <f t="shared" si="11"/>
        <v>157950</v>
      </c>
      <c r="H70" s="7">
        <v>0</v>
      </c>
      <c r="I70" s="28">
        <f t="shared" si="12"/>
        <v>1650892.2651740911</v>
      </c>
      <c r="J70" s="28"/>
      <c r="K70" s="7">
        <f t="shared" si="13"/>
        <v>1808842.2651740911</v>
      </c>
      <c r="L70" s="28">
        <f t="shared" si="16"/>
        <v>12897426.249114357</v>
      </c>
      <c r="M70" s="28">
        <f t="shared" si="17"/>
        <v>12897426.249114357</v>
      </c>
      <c r="N70" s="31" t="s">
        <v>22</v>
      </c>
      <c r="R70" s="16"/>
      <c r="S70" s="17" t="s">
        <v>40</v>
      </c>
      <c r="T70" s="24" t="s">
        <v>39</v>
      </c>
    </row>
    <row r="71" spans="1:20">
      <c r="A71" s="11">
        <v>43</v>
      </c>
      <c r="B71" s="12">
        <f t="shared" si="14"/>
        <v>44563</v>
      </c>
      <c r="C71" s="38">
        <f t="shared" si="15"/>
        <v>30</v>
      </c>
      <c r="D71" s="7">
        <f t="shared" si="10"/>
        <v>1413446.057542321</v>
      </c>
      <c r="E71" s="28">
        <f t="shared" si="1"/>
        <v>1413446.057542321</v>
      </c>
      <c r="F71" s="7">
        <f t="shared" si="18"/>
        <v>237446.20763177014</v>
      </c>
      <c r="G71" s="7">
        <f t="shared" si="11"/>
        <v>157950</v>
      </c>
      <c r="H71" s="7">
        <v>0</v>
      </c>
      <c r="I71" s="28">
        <f t="shared" si="12"/>
        <v>1650892.2651740911</v>
      </c>
      <c r="J71" s="28"/>
      <c r="K71" s="7">
        <f t="shared" si="13"/>
        <v>1808842.2651740911</v>
      </c>
      <c r="L71" s="28">
        <f t="shared" si="16"/>
        <v>11512543.400328249</v>
      </c>
      <c r="M71" s="28">
        <f t="shared" si="17"/>
        <v>11512543.400328249</v>
      </c>
      <c r="N71" s="31" t="s">
        <v>22</v>
      </c>
      <c r="R71" s="16"/>
      <c r="S71" s="17" t="s">
        <v>40</v>
      </c>
      <c r="T71" s="24" t="s">
        <v>39</v>
      </c>
    </row>
    <row r="72" spans="1:20">
      <c r="A72" s="11">
        <v>44</v>
      </c>
      <c r="B72" s="12">
        <f t="shared" si="14"/>
        <v>44594</v>
      </c>
      <c r="C72" s="38">
        <f t="shared" si="15"/>
        <v>30</v>
      </c>
      <c r="D72" s="7">
        <f t="shared" si="10"/>
        <v>1442598.3824791312</v>
      </c>
      <c r="E72" s="28">
        <f t="shared" si="1"/>
        <v>1442598.3824791312</v>
      </c>
      <c r="F72" s="7">
        <f t="shared" si="18"/>
        <v>208293.88269495976</v>
      </c>
      <c r="G72" s="7">
        <f t="shared" si="11"/>
        <v>157950</v>
      </c>
      <c r="H72" s="7">
        <v>0</v>
      </c>
      <c r="I72" s="28">
        <f t="shared" si="12"/>
        <v>1650892.2651740911</v>
      </c>
      <c r="J72" s="28"/>
      <c r="K72" s="7">
        <f t="shared" si="13"/>
        <v>1808842.2651740911</v>
      </c>
      <c r="L72" s="28">
        <f t="shared" si="16"/>
        <v>10099097.342785928</v>
      </c>
      <c r="M72" s="28">
        <f t="shared" si="17"/>
        <v>10099097.342785928</v>
      </c>
      <c r="N72" s="31" t="s">
        <v>22</v>
      </c>
      <c r="R72" s="16"/>
      <c r="S72" s="17" t="s">
        <v>40</v>
      </c>
      <c r="T72" s="24" t="s">
        <v>39</v>
      </c>
    </row>
    <row r="73" spans="1:20">
      <c r="A73" s="11">
        <v>45</v>
      </c>
      <c r="B73" s="12">
        <f t="shared" si="14"/>
        <v>44622</v>
      </c>
      <c r="C73" s="38">
        <f t="shared" si="15"/>
        <v>30</v>
      </c>
      <c r="D73" s="7">
        <f t="shared" si="10"/>
        <v>1472351.9741177633</v>
      </c>
      <c r="E73" s="28">
        <f t="shared" si="1"/>
        <v>1472351.9741177633</v>
      </c>
      <c r="F73" s="7">
        <f t="shared" si="18"/>
        <v>178540.2910563277</v>
      </c>
      <c r="G73" s="7">
        <f t="shared" si="11"/>
        <v>157950</v>
      </c>
      <c r="H73" s="7">
        <v>0</v>
      </c>
      <c r="I73" s="28">
        <f t="shared" si="12"/>
        <v>1650892.2651740911</v>
      </c>
      <c r="J73" s="28"/>
      <c r="K73" s="7">
        <f t="shared" si="13"/>
        <v>1808842.2651740911</v>
      </c>
      <c r="L73" s="28">
        <f t="shared" si="16"/>
        <v>8656498.9603067972</v>
      </c>
      <c r="M73" s="28">
        <f t="shared" si="17"/>
        <v>8656498.9603067972</v>
      </c>
      <c r="N73" s="31" t="s">
        <v>22</v>
      </c>
      <c r="R73" s="16"/>
      <c r="S73" s="17" t="s">
        <v>40</v>
      </c>
      <c r="T73" s="24" t="s">
        <v>39</v>
      </c>
    </row>
    <row r="74" spans="1:20">
      <c r="A74" s="11">
        <v>46</v>
      </c>
      <c r="B74" s="12">
        <f t="shared" si="14"/>
        <v>44653</v>
      </c>
      <c r="C74" s="38">
        <f t="shared" si="15"/>
        <v>30</v>
      </c>
      <c r="D74" s="7">
        <f t="shared" si="10"/>
        <v>1502719.2335839423</v>
      </c>
      <c r="E74" s="28">
        <f t="shared" si="1"/>
        <v>1502719.2335839423</v>
      </c>
      <c r="F74" s="7">
        <f t="shared" si="18"/>
        <v>148173.03159014884</v>
      </c>
      <c r="G74" s="7">
        <f t="shared" si="11"/>
        <v>157950</v>
      </c>
      <c r="H74" s="7">
        <v>0</v>
      </c>
      <c r="I74" s="28">
        <f t="shared" si="12"/>
        <v>1650892.2651740911</v>
      </c>
      <c r="J74" s="28"/>
      <c r="K74" s="7">
        <f t="shared" si="13"/>
        <v>1808842.2651740911</v>
      </c>
      <c r="L74" s="28">
        <f t="shared" si="16"/>
        <v>7184146.9861890338</v>
      </c>
      <c r="M74" s="28">
        <f t="shared" si="17"/>
        <v>7184146.9861890338</v>
      </c>
      <c r="N74" s="31" t="s">
        <v>22</v>
      </c>
      <c r="R74" s="16"/>
      <c r="S74" s="17" t="s">
        <v>40</v>
      </c>
      <c r="T74" s="24" t="s">
        <v>39</v>
      </c>
    </row>
    <row r="75" spans="1:20">
      <c r="A75" s="11">
        <v>47</v>
      </c>
      <c r="B75" s="12">
        <f t="shared" si="14"/>
        <v>44683</v>
      </c>
      <c r="C75" s="38">
        <f t="shared" si="15"/>
        <v>30</v>
      </c>
      <c r="D75" s="7">
        <f t="shared" si="10"/>
        <v>1533712.8177766111</v>
      </c>
      <c r="E75" s="28">
        <f t="shared" si="1"/>
        <v>1533712.8177766111</v>
      </c>
      <c r="F75" s="7">
        <f t="shared" si="18"/>
        <v>117179.44739748002</v>
      </c>
      <c r="G75" s="7">
        <f t="shared" si="11"/>
        <v>157950</v>
      </c>
      <c r="H75" s="7">
        <v>0</v>
      </c>
      <c r="I75" s="28">
        <f t="shared" si="12"/>
        <v>1650892.2651740911</v>
      </c>
      <c r="J75" s="28"/>
      <c r="K75" s="7">
        <f t="shared" si="13"/>
        <v>1808842.2651740911</v>
      </c>
      <c r="L75" s="28">
        <f t="shared" si="16"/>
        <v>5681427.7526050918</v>
      </c>
      <c r="M75" s="28">
        <f t="shared" si="17"/>
        <v>5681427.7526050918</v>
      </c>
      <c r="N75" s="31" t="s">
        <v>22</v>
      </c>
      <c r="R75" s="16"/>
      <c r="S75" s="17" t="s">
        <v>40</v>
      </c>
      <c r="T75" s="24" t="s">
        <v>39</v>
      </c>
    </row>
    <row r="76" spans="1:20">
      <c r="A76" s="11">
        <v>48</v>
      </c>
      <c r="B76" s="12">
        <f t="shared" si="14"/>
        <v>44714</v>
      </c>
      <c r="C76" s="38">
        <f t="shared" si="15"/>
        <v>30</v>
      </c>
      <c r="D76" s="7">
        <f t="shared" si="10"/>
        <v>1565345.6446432536</v>
      </c>
      <c r="E76" s="28">
        <f t="shared" si="1"/>
        <v>1565345.6446432536</v>
      </c>
      <c r="F76" s="7">
        <f t="shared" si="18"/>
        <v>85546.620530837419</v>
      </c>
      <c r="G76" s="7">
        <f t="shared" si="11"/>
        <v>157950</v>
      </c>
      <c r="H76" s="7">
        <v>0</v>
      </c>
      <c r="I76" s="28">
        <f t="shared" si="12"/>
        <v>1650892.2651740911</v>
      </c>
      <c r="J76" s="28"/>
      <c r="K76" s="7">
        <f t="shared" si="13"/>
        <v>1808842.2651740911</v>
      </c>
      <c r="L76" s="28">
        <f t="shared" si="16"/>
        <v>4147714.9348284807</v>
      </c>
      <c r="M76" s="28">
        <f t="shared" si="17"/>
        <v>4147714.9348284807</v>
      </c>
      <c r="N76" s="31" t="s">
        <v>22</v>
      </c>
      <c r="O76" s="53">
        <f>+IF(AND(A76=N17,L76&gt;K76),L76+F76+G76,F76+G76+L76)</f>
        <v>4391211.5553593179</v>
      </c>
      <c r="P76" s="13">
        <f>+L76-K76</f>
        <v>2338872.6696543898</v>
      </c>
      <c r="R76" s="16"/>
      <c r="S76" s="17" t="s">
        <v>40</v>
      </c>
      <c r="T76" s="24" t="s">
        <v>39</v>
      </c>
    </row>
    <row r="77" spans="1:20">
      <c r="A77" s="11">
        <v>49</v>
      </c>
      <c r="B77" s="12" t="str">
        <f t="shared" si="14"/>
        <v/>
      </c>
      <c r="C77" s="38" t="str">
        <f t="shared" si="15"/>
        <v/>
      </c>
      <c r="D77" s="7" t="str">
        <f t="shared" si="10"/>
        <v/>
      </c>
      <c r="E77" s="28"/>
      <c r="F77" s="7" t="str">
        <f t="shared" si="18"/>
        <v/>
      </c>
      <c r="G77" s="7" t="str">
        <f t="shared" si="11"/>
        <v/>
      </c>
      <c r="H77" s="7">
        <v>0</v>
      </c>
      <c r="I77" s="28" t="str">
        <f t="shared" si="12"/>
        <v/>
      </c>
      <c r="J77" s="28"/>
      <c r="K77" s="7" t="str">
        <f t="shared" si="13"/>
        <v/>
      </c>
      <c r="L77" s="28" t="str">
        <f t="shared" si="16"/>
        <v/>
      </c>
      <c r="M77" s="28" t="str">
        <f t="shared" si="17"/>
        <v/>
      </c>
      <c r="N77" s="31" t="s">
        <v>22</v>
      </c>
      <c r="O77" s="58"/>
      <c r="R77" s="16"/>
      <c r="S77" s="17" t="s">
        <v>40</v>
      </c>
      <c r="T77" s="24" t="s">
        <v>39</v>
      </c>
    </row>
    <row r="78" spans="1:20">
      <c r="A78" s="11">
        <v>50</v>
      </c>
      <c r="B78" s="12" t="str">
        <f t="shared" si="14"/>
        <v/>
      </c>
      <c r="C78" s="38" t="str">
        <f t="shared" si="15"/>
        <v/>
      </c>
      <c r="D78" s="7" t="str">
        <f t="shared" si="10"/>
        <v/>
      </c>
      <c r="E78" s="28"/>
      <c r="F78" s="7" t="str">
        <f t="shared" si="18"/>
        <v/>
      </c>
      <c r="G78" s="7" t="str">
        <f t="shared" si="11"/>
        <v/>
      </c>
      <c r="H78" s="7">
        <v>0</v>
      </c>
      <c r="I78" s="28" t="str">
        <f t="shared" si="12"/>
        <v/>
      </c>
      <c r="J78" s="28"/>
      <c r="K78" s="7" t="str">
        <f t="shared" si="13"/>
        <v/>
      </c>
      <c r="L78" s="28" t="str">
        <f t="shared" si="16"/>
        <v/>
      </c>
      <c r="M78" s="28" t="str">
        <f t="shared" si="17"/>
        <v/>
      </c>
      <c r="N78" s="31" t="s">
        <v>22</v>
      </c>
      <c r="R78" s="16"/>
      <c r="S78" s="17" t="s">
        <v>40</v>
      </c>
      <c r="T78" s="24" t="s">
        <v>39</v>
      </c>
    </row>
    <row r="79" spans="1:20">
      <c r="A79" s="11">
        <v>51</v>
      </c>
      <c r="B79" s="12" t="str">
        <f t="shared" si="14"/>
        <v/>
      </c>
      <c r="C79" s="38" t="str">
        <f t="shared" si="15"/>
        <v/>
      </c>
      <c r="D79" s="7" t="str">
        <f t="shared" si="10"/>
        <v/>
      </c>
      <c r="E79" s="28"/>
      <c r="F79" s="7" t="str">
        <f t="shared" si="18"/>
        <v/>
      </c>
      <c r="G79" s="7" t="str">
        <f t="shared" si="11"/>
        <v/>
      </c>
      <c r="H79" s="7">
        <v>0</v>
      </c>
      <c r="I79" s="28" t="str">
        <f t="shared" si="12"/>
        <v/>
      </c>
      <c r="J79" s="28"/>
      <c r="K79" s="7" t="str">
        <f t="shared" si="13"/>
        <v/>
      </c>
      <c r="L79" s="28" t="str">
        <f t="shared" si="16"/>
        <v/>
      </c>
      <c r="M79" s="28" t="str">
        <f t="shared" si="17"/>
        <v/>
      </c>
      <c r="N79" s="31" t="s">
        <v>22</v>
      </c>
      <c r="R79" s="16"/>
      <c r="S79" s="17" t="s">
        <v>40</v>
      </c>
      <c r="T79" s="24" t="s">
        <v>39</v>
      </c>
    </row>
    <row r="80" spans="1:20">
      <c r="A80" s="11">
        <v>52</v>
      </c>
      <c r="B80" s="12" t="str">
        <f t="shared" si="14"/>
        <v/>
      </c>
      <c r="C80" s="38" t="str">
        <f t="shared" si="15"/>
        <v/>
      </c>
      <c r="D80" s="7" t="str">
        <f t="shared" si="10"/>
        <v/>
      </c>
      <c r="E80" s="28"/>
      <c r="F80" s="7" t="str">
        <f t="shared" si="18"/>
        <v/>
      </c>
      <c r="G80" s="7" t="str">
        <f t="shared" si="11"/>
        <v/>
      </c>
      <c r="H80" s="7">
        <v>0</v>
      </c>
      <c r="I80" s="28" t="str">
        <f t="shared" si="12"/>
        <v/>
      </c>
      <c r="J80" s="28"/>
      <c r="K80" s="7" t="str">
        <f t="shared" si="13"/>
        <v/>
      </c>
      <c r="L80" s="28" t="str">
        <f t="shared" si="16"/>
        <v/>
      </c>
      <c r="M80" s="28" t="str">
        <f t="shared" si="17"/>
        <v/>
      </c>
      <c r="N80" s="31" t="s">
        <v>22</v>
      </c>
      <c r="R80" s="16"/>
      <c r="S80" s="17" t="s">
        <v>40</v>
      </c>
      <c r="T80" s="24" t="s">
        <v>39</v>
      </c>
    </row>
    <row r="81" spans="1:20">
      <c r="A81" s="11">
        <v>53</v>
      </c>
      <c r="B81" s="12" t="str">
        <f t="shared" si="14"/>
        <v/>
      </c>
      <c r="C81" s="38" t="str">
        <f t="shared" si="15"/>
        <v/>
      </c>
      <c r="D81" s="7" t="str">
        <f t="shared" si="10"/>
        <v/>
      </c>
      <c r="E81" s="28"/>
      <c r="F81" s="7" t="str">
        <f t="shared" si="18"/>
        <v/>
      </c>
      <c r="G81" s="7" t="str">
        <f t="shared" si="11"/>
        <v/>
      </c>
      <c r="H81" s="7">
        <v>0</v>
      </c>
      <c r="I81" s="28" t="str">
        <f t="shared" si="12"/>
        <v/>
      </c>
      <c r="J81" s="28"/>
      <c r="K81" s="7" t="str">
        <f t="shared" si="13"/>
        <v/>
      </c>
      <c r="L81" s="28" t="str">
        <f t="shared" si="16"/>
        <v/>
      </c>
      <c r="M81" s="28" t="str">
        <f t="shared" si="17"/>
        <v/>
      </c>
      <c r="N81" s="31" t="s">
        <v>22</v>
      </c>
      <c r="R81" s="16"/>
      <c r="S81" s="17" t="s">
        <v>40</v>
      </c>
      <c r="T81" s="24" t="s">
        <v>39</v>
      </c>
    </row>
    <row r="82" spans="1:20">
      <c r="A82" s="11">
        <v>54</v>
      </c>
      <c r="B82" s="12" t="str">
        <f t="shared" si="14"/>
        <v/>
      </c>
      <c r="C82" s="38" t="str">
        <f t="shared" si="15"/>
        <v/>
      </c>
      <c r="D82" s="7" t="str">
        <f t="shared" si="10"/>
        <v/>
      </c>
      <c r="E82" s="28"/>
      <c r="F82" s="7" t="str">
        <f t="shared" si="18"/>
        <v/>
      </c>
      <c r="G82" s="7" t="str">
        <f t="shared" si="11"/>
        <v/>
      </c>
      <c r="H82" s="7">
        <v>0</v>
      </c>
      <c r="I82" s="28" t="str">
        <f t="shared" si="12"/>
        <v/>
      </c>
      <c r="J82" s="28"/>
      <c r="K82" s="7" t="str">
        <f t="shared" si="13"/>
        <v/>
      </c>
      <c r="L82" s="28" t="str">
        <f t="shared" si="16"/>
        <v/>
      </c>
      <c r="M82" s="28" t="str">
        <f t="shared" si="17"/>
        <v/>
      </c>
      <c r="N82" s="31" t="s">
        <v>22</v>
      </c>
      <c r="R82" s="16"/>
      <c r="S82" s="17" t="s">
        <v>40</v>
      </c>
      <c r="T82" s="24" t="s">
        <v>39</v>
      </c>
    </row>
    <row r="83" spans="1:20">
      <c r="A83" s="11">
        <v>55</v>
      </c>
      <c r="B83" s="12" t="str">
        <f t="shared" si="14"/>
        <v/>
      </c>
      <c r="C83" s="38" t="str">
        <f t="shared" si="15"/>
        <v/>
      </c>
      <c r="D83" s="7" t="str">
        <f t="shared" si="10"/>
        <v/>
      </c>
      <c r="E83" s="28"/>
      <c r="F83" s="7" t="str">
        <f t="shared" si="18"/>
        <v/>
      </c>
      <c r="G83" s="7" t="str">
        <f t="shared" si="11"/>
        <v/>
      </c>
      <c r="H83" s="7">
        <v>0</v>
      </c>
      <c r="I83" s="28" t="str">
        <f t="shared" si="12"/>
        <v/>
      </c>
      <c r="J83" s="28"/>
      <c r="K83" s="7" t="str">
        <f t="shared" si="13"/>
        <v/>
      </c>
      <c r="L83" s="28" t="str">
        <f t="shared" si="16"/>
        <v/>
      </c>
      <c r="M83" s="28" t="str">
        <f t="shared" si="17"/>
        <v/>
      </c>
      <c r="N83" s="31" t="s">
        <v>22</v>
      </c>
      <c r="R83" s="16"/>
      <c r="S83" s="17" t="s">
        <v>40</v>
      </c>
      <c r="T83" s="24" t="s">
        <v>39</v>
      </c>
    </row>
    <row r="84" spans="1:20">
      <c r="A84" s="11">
        <v>56</v>
      </c>
      <c r="B84" s="12" t="str">
        <f t="shared" si="14"/>
        <v/>
      </c>
      <c r="C84" s="38" t="str">
        <f t="shared" si="15"/>
        <v/>
      </c>
      <c r="D84" s="7" t="str">
        <f t="shared" si="10"/>
        <v/>
      </c>
      <c r="E84" s="28"/>
      <c r="F84" s="7" t="str">
        <f t="shared" si="18"/>
        <v/>
      </c>
      <c r="G84" s="7" t="str">
        <f t="shared" si="11"/>
        <v/>
      </c>
      <c r="H84" s="7">
        <v>0</v>
      </c>
      <c r="I84" s="28" t="str">
        <f t="shared" si="12"/>
        <v/>
      </c>
      <c r="J84" s="28"/>
      <c r="K84" s="7" t="str">
        <f t="shared" si="13"/>
        <v/>
      </c>
      <c r="L84" s="28" t="str">
        <f t="shared" si="16"/>
        <v/>
      </c>
      <c r="M84" s="28" t="str">
        <f t="shared" si="17"/>
        <v/>
      </c>
      <c r="N84" s="31" t="s">
        <v>22</v>
      </c>
      <c r="R84" s="16"/>
      <c r="S84" s="17" t="s">
        <v>40</v>
      </c>
      <c r="T84" s="24" t="s">
        <v>39</v>
      </c>
    </row>
    <row r="85" spans="1:20">
      <c r="A85" s="11">
        <v>57</v>
      </c>
      <c r="B85" s="12" t="str">
        <f t="shared" si="14"/>
        <v/>
      </c>
      <c r="C85" s="38" t="str">
        <f t="shared" si="15"/>
        <v/>
      </c>
      <c r="D85" s="7" t="str">
        <f t="shared" si="10"/>
        <v/>
      </c>
      <c r="E85" s="28"/>
      <c r="F85" s="7" t="str">
        <f t="shared" si="18"/>
        <v/>
      </c>
      <c r="G85" s="7" t="str">
        <f t="shared" si="11"/>
        <v/>
      </c>
      <c r="H85" s="7">
        <v>0</v>
      </c>
      <c r="I85" s="28" t="str">
        <f t="shared" si="12"/>
        <v/>
      </c>
      <c r="J85" s="28"/>
      <c r="K85" s="7" t="str">
        <f t="shared" si="13"/>
        <v/>
      </c>
      <c r="L85" s="28" t="str">
        <f t="shared" si="16"/>
        <v/>
      </c>
      <c r="M85" s="28" t="str">
        <f t="shared" si="17"/>
        <v/>
      </c>
      <c r="N85" s="31" t="s">
        <v>22</v>
      </c>
      <c r="R85" s="16"/>
      <c r="S85" s="17" t="s">
        <v>40</v>
      </c>
      <c r="T85" s="24" t="s">
        <v>39</v>
      </c>
    </row>
    <row r="86" spans="1:20">
      <c r="A86" s="11">
        <v>58</v>
      </c>
      <c r="B86" s="12" t="str">
        <f t="shared" si="14"/>
        <v/>
      </c>
      <c r="C86" s="38" t="str">
        <f t="shared" si="15"/>
        <v/>
      </c>
      <c r="D86" s="7" t="str">
        <f t="shared" si="10"/>
        <v/>
      </c>
      <c r="E86" s="28"/>
      <c r="F86" s="7" t="str">
        <f t="shared" si="18"/>
        <v/>
      </c>
      <c r="G86" s="7" t="str">
        <f t="shared" si="11"/>
        <v/>
      </c>
      <c r="H86" s="7">
        <v>0</v>
      </c>
      <c r="I86" s="28" t="str">
        <f t="shared" si="12"/>
        <v/>
      </c>
      <c r="J86" s="28"/>
      <c r="K86" s="7" t="str">
        <f t="shared" si="13"/>
        <v/>
      </c>
      <c r="L86" s="28" t="str">
        <f t="shared" si="16"/>
        <v/>
      </c>
      <c r="M86" s="28" t="str">
        <f t="shared" si="17"/>
        <v/>
      </c>
      <c r="N86" s="31" t="s">
        <v>22</v>
      </c>
      <c r="R86" s="16"/>
      <c r="S86" s="17" t="s">
        <v>40</v>
      </c>
      <c r="T86" s="24" t="s">
        <v>39</v>
      </c>
    </row>
    <row r="87" spans="1:20">
      <c r="A87" s="11">
        <v>59</v>
      </c>
      <c r="B87" s="12" t="str">
        <f t="shared" si="14"/>
        <v/>
      </c>
      <c r="C87" s="38" t="str">
        <f t="shared" si="15"/>
        <v/>
      </c>
      <c r="D87" s="7" t="str">
        <f t="shared" si="10"/>
        <v/>
      </c>
      <c r="E87" s="28"/>
      <c r="F87" s="7" t="str">
        <f t="shared" si="18"/>
        <v/>
      </c>
      <c r="G87" s="7" t="str">
        <f t="shared" si="11"/>
        <v/>
      </c>
      <c r="H87" s="7">
        <v>0</v>
      </c>
      <c r="I87" s="28" t="str">
        <f t="shared" si="12"/>
        <v/>
      </c>
      <c r="J87" s="28"/>
      <c r="K87" s="7" t="str">
        <f t="shared" si="13"/>
        <v/>
      </c>
      <c r="L87" s="28" t="str">
        <f t="shared" si="16"/>
        <v/>
      </c>
      <c r="M87" s="28" t="str">
        <f t="shared" si="17"/>
        <v/>
      </c>
      <c r="N87" s="31" t="s">
        <v>22</v>
      </c>
      <c r="R87" s="16"/>
      <c r="S87" s="17" t="s">
        <v>40</v>
      </c>
      <c r="T87" s="24" t="s">
        <v>39</v>
      </c>
    </row>
    <row r="88" spans="1:20">
      <c r="A88" s="11">
        <v>60</v>
      </c>
      <c r="B88" s="12" t="str">
        <f t="shared" si="14"/>
        <v/>
      </c>
      <c r="C88" s="38" t="str">
        <f t="shared" si="15"/>
        <v/>
      </c>
      <c r="D88" s="7" t="str">
        <f t="shared" si="10"/>
        <v/>
      </c>
      <c r="E88" s="28"/>
      <c r="F88" s="7" t="str">
        <f t="shared" si="18"/>
        <v/>
      </c>
      <c r="G88" s="7" t="str">
        <f t="shared" si="11"/>
        <v/>
      </c>
      <c r="H88" s="7">
        <v>0</v>
      </c>
      <c r="I88" s="28" t="str">
        <f t="shared" si="12"/>
        <v/>
      </c>
      <c r="J88" s="28"/>
      <c r="K88" s="7" t="str">
        <f t="shared" si="13"/>
        <v/>
      </c>
      <c r="L88" s="28" t="str">
        <f t="shared" si="16"/>
        <v/>
      </c>
      <c r="M88" s="28" t="str">
        <f t="shared" si="17"/>
        <v/>
      </c>
      <c r="N88" s="31" t="s">
        <v>22</v>
      </c>
      <c r="O88" s="13" t="e">
        <f>+L88-I88</f>
        <v>#VALUE!</v>
      </c>
      <c r="R88" s="16"/>
      <c r="S88" s="17" t="s">
        <v>40</v>
      </c>
      <c r="T88" s="24" t="s">
        <v>39</v>
      </c>
    </row>
    <row r="89" spans="1:20">
      <c r="A89" s="11"/>
      <c r="B89" s="15" t="s">
        <v>23</v>
      </c>
      <c r="C89" s="41"/>
      <c r="D89" s="7">
        <f t="shared" si="10"/>
        <v>0</v>
      </c>
      <c r="E89" s="29"/>
      <c r="F89" s="13">
        <f t="shared" ref="F89:H89" si="19">+SUM(F29:F88)</f>
        <v>32202430.753367502</v>
      </c>
      <c r="G89" s="13">
        <f t="shared" si="19"/>
        <v>7581600</v>
      </c>
      <c r="H89" s="13">
        <f t="shared" si="19"/>
        <v>0</v>
      </c>
      <c r="I89" s="29"/>
      <c r="J89" s="29"/>
      <c r="K89" s="13">
        <f>+SUM(K29:K88)</f>
        <v>86824428.728356376</v>
      </c>
      <c r="L89" s="28"/>
      <c r="M89" s="28"/>
      <c r="N89" s="29"/>
      <c r="O89" s="13"/>
    </row>
    <row r="90" spans="1:20">
      <c r="A90" s="11"/>
      <c r="D90" s="7">
        <f t="shared" si="10"/>
        <v>0</v>
      </c>
      <c r="E90" s="29"/>
      <c r="F90" s="13"/>
      <c r="K90" s="13"/>
      <c r="M90" s="28"/>
    </row>
    <row r="91" spans="1:20">
      <c r="A91" s="206" t="s">
        <v>41</v>
      </c>
      <c r="B91" s="206"/>
      <c r="C91" s="206"/>
      <c r="D91" s="206"/>
      <c r="E91" s="206"/>
      <c r="F91" s="206"/>
      <c r="G91" s="206"/>
      <c r="H91" s="206"/>
      <c r="I91" s="206"/>
      <c r="J91" s="206"/>
      <c r="K91" s="206"/>
      <c r="M91" s="28"/>
    </row>
    <row r="92" spans="1:20">
      <c r="A92" s="206"/>
      <c r="B92" s="206"/>
      <c r="C92" s="206"/>
      <c r="D92" s="206"/>
      <c r="E92" s="206"/>
      <c r="F92" s="206"/>
      <c r="G92" s="206"/>
      <c r="H92" s="206"/>
      <c r="I92" s="206"/>
      <c r="J92" s="206"/>
      <c r="K92" s="206"/>
      <c r="M92" s="28"/>
    </row>
    <row r="93" spans="1:20">
      <c r="A93" s="206"/>
      <c r="B93" s="206"/>
      <c r="C93" s="206"/>
      <c r="D93" s="206"/>
      <c r="E93" s="206"/>
      <c r="F93" s="206"/>
      <c r="G93" s="206"/>
      <c r="H93" s="206"/>
      <c r="I93" s="206"/>
      <c r="J93" s="206"/>
      <c r="K93" s="206"/>
      <c r="M93" s="28"/>
    </row>
    <row r="94" spans="1:20">
      <c r="A94" s="206"/>
      <c r="B94" s="206"/>
      <c r="C94" s="206"/>
      <c r="D94" s="206"/>
      <c r="E94" s="206"/>
      <c r="F94" s="206"/>
      <c r="G94" s="206"/>
      <c r="H94" s="206"/>
      <c r="I94" s="206"/>
      <c r="J94" s="206"/>
      <c r="K94" s="206"/>
      <c r="M94" s="28"/>
    </row>
    <row r="95" spans="1:20">
      <c r="A95" s="206"/>
      <c r="B95" s="206"/>
      <c r="C95" s="206"/>
      <c r="D95" s="206"/>
      <c r="E95" s="206"/>
      <c r="F95" s="206"/>
      <c r="G95" s="206"/>
      <c r="H95" s="206"/>
      <c r="I95" s="206"/>
      <c r="J95" s="206"/>
      <c r="K95" s="206"/>
      <c r="M95" s="28"/>
    </row>
    <row r="96" spans="1:20">
      <c r="A96" s="206"/>
      <c r="B96" s="206"/>
      <c r="C96" s="206"/>
      <c r="D96" s="206"/>
      <c r="E96" s="206"/>
      <c r="F96" s="206"/>
      <c r="G96" s="206"/>
      <c r="H96" s="206"/>
      <c r="I96" s="206"/>
      <c r="J96" s="206"/>
      <c r="K96" s="206"/>
      <c r="M96" s="28"/>
    </row>
    <row r="97" spans="1:13">
      <c r="A97" s="206"/>
      <c r="B97" s="206"/>
      <c r="C97" s="206"/>
      <c r="D97" s="206"/>
      <c r="E97" s="206"/>
      <c r="F97" s="206"/>
      <c r="G97" s="206"/>
      <c r="H97" s="206"/>
      <c r="I97" s="206"/>
      <c r="J97" s="206"/>
      <c r="K97" s="206"/>
      <c r="M97" s="28"/>
    </row>
    <row r="98" spans="1:13">
      <c r="A98" s="206"/>
      <c r="B98" s="206"/>
      <c r="C98" s="206"/>
      <c r="D98" s="206"/>
      <c r="E98" s="206"/>
      <c r="F98" s="206"/>
      <c r="G98" s="206"/>
      <c r="H98" s="206"/>
      <c r="I98" s="206"/>
      <c r="J98" s="206"/>
      <c r="K98" s="206"/>
      <c r="M98" s="28"/>
    </row>
    <row r="99" spans="1:13">
      <c r="A99" s="206"/>
      <c r="B99" s="206"/>
      <c r="C99" s="206"/>
      <c r="D99" s="206"/>
      <c r="E99" s="206"/>
      <c r="F99" s="206"/>
      <c r="G99" s="206"/>
      <c r="H99" s="206"/>
      <c r="I99" s="206"/>
      <c r="J99" s="206"/>
      <c r="K99" s="206"/>
      <c r="M99" s="28"/>
    </row>
    <row r="100" spans="1:13">
      <c r="A100" s="206"/>
      <c r="B100" s="206"/>
      <c r="C100" s="206"/>
      <c r="D100" s="206"/>
      <c r="E100" s="206"/>
      <c r="F100" s="206"/>
      <c r="G100" s="206"/>
      <c r="H100" s="206"/>
      <c r="I100" s="206"/>
      <c r="J100" s="206"/>
      <c r="K100" s="206"/>
      <c r="M100" s="28"/>
    </row>
  </sheetData>
  <mergeCells count="4">
    <mergeCell ref="A91:K100"/>
    <mergeCell ref="A2:Q2"/>
    <mergeCell ref="A3:Q3"/>
    <mergeCell ref="A4:Q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selection activeCell="E1" sqref="E1"/>
    </sheetView>
  </sheetViews>
  <sheetFormatPr baseColWidth="10" defaultRowHeight="15"/>
  <sheetData>
    <row r="1" spans="1:6">
      <c r="A1">
        <v>5896630.8700000001</v>
      </c>
      <c r="B1">
        <f>A1*C1</f>
        <v>707595.70439999993</v>
      </c>
      <c r="C1">
        <f>12/100</f>
        <v>0.12</v>
      </c>
      <c r="D1">
        <f>19/100</f>
        <v>0.19</v>
      </c>
      <c r="E1">
        <f>(A1*C1)+(B1*D1)</f>
        <v>842038.88823599997</v>
      </c>
      <c r="F1">
        <f>A1+E1</f>
        <v>6738669.7582360003</v>
      </c>
    </row>
    <row r="3" spans="1:6">
      <c r="B3">
        <f>B1*0.19</f>
        <v>134443.18383599998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8576"/>
  <sheetViews>
    <sheetView workbookViewId="0">
      <selection activeCell="C1" sqref="C1"/>
    </sheetView>
  </sheetViews>
  <sheetFormatPr baseColWidth="10" defaultRowHeight="15"/>
  <cols>
    <col min="1" max="1" width="15.85546875" customWidth="1"/>
  </cols>
  <sheetData>
    <row r="1" spans="1:3">
      <c r="A1" s="61">
        <v>1457120.42</v>
      </c>
      <c r="C1" s="63">
        <f>7000000/1500000</f>
        <v>4.666666666666667</v>
      </c>
    </row>
    <row r="2" spans="1:3">
      <c r="A2" s="61">
        <v>404012.58</v>
      </c>
    </row>
    <row r="3" spans="1:3">
      <c r="A3" s="61">
        <v>81435.44</v>
      </c>
    </row>
    <row r="4" spans="1:3">
      <c r="A4" s="61">
        <v>63180</v>
      </c>
    </row>
    <row r="5" spans="1:3">
      <c r="A5" s="61">
        <v>1567531.1</v>
      </c>
    </row>
    <row r="6" spans="1:3">
      <c r="A6" s="61">
        <v>293601.90000000002</v>
      </c>
    </row>
    <row r="7" spans="1:3">
      <c r="A7" s="62">
        <v>40949.35</v>
      </c>
    </row>
    <row r="8" spans="1:3">
      <c r="A8" s="61">
        <v>63180</v>
      </c>
    </row>
    <row r="9" spans="1:3">
      <c r="A9" s="61">
        <v>1594807.4</v>
      </c>
    </row>
    <row r="10" spans="1:3">
      <c r="A10" s="61">
        <v>266325.59999999998</v>
      </c>
    </row>
    <row r="11" spans="1:3">
      <c r="A11" s="62">
        <v>1307.08</v>
      </c>
    </row>
    <row r="12" spans="1:3">
      <c r="A12" s="61">
        <v>63180</v>
      </c>
    </row>
    <row r="13" spans="1:3">
      <c r="A13" s="61">
        <f>SUM(A1:A12)</f>
        <v>5896630.8699999992</v>
      </c>
    </row>
    <row r="1048576" spans="1:1">
      <c r="A1048576" s="61">
        <f>SUM(A9:A1048575)</f>
        <v>7822250.9499999993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C2" sqref="C2"/>
    </sheetView>
  </sheetViews>
  <sheetFormatPr baseColWidth="10" defaultRowHeight="15"/>
  <sheetData>
    <row r="1" spans="1:3">
      <c r="A1" s="64">
        <v>0.25</v>
      </c>
      <c r="B1" s="64">
        <f>570/1440</f>
        <v>0.39583333333333331</v>
      </c>
      <c r="C1" s="64">
        <f>A1+B1</f>
        <v>0.64583333333333326</v>
      </c>
    </row>
    <row r="2" spans="1:3">
      <c r="A2">
        <v>50000000</v>
      </c>
      <c r="B2">
        <f>A2/7581600</f>
        <v>6.5949140023214099</v>
      </c>
      <c r="C2">
        <f>B2*48</f>
        <v>316.55587211142768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Simulador CrediCompras</vt:lpstr>
      <vt:lpstr>Hoja5</vt:lpstr>
      <vt:lpstr>Hoja2</vt:lpstr>
      <vt:lpstr>Hoja1</vt:lpstr>
      <vt:lpstr>Hoja3</vt:lpstr>
      <vt:lpstr>Hoja4</vt:lpstr>
      <vt:lpstr>Hoja6</vt:lpstr>
      <vt:lpstr>'Simulador CrediCompras'!Área_de_impresión</vt:lpstr>
    </vt:vector>
  </TitlesOfParts>
  <Company>Tuya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Tarjeta Exito</dc:creator>
  <cp:lastModifiedBy>Tarjeta Exito</cp:lastModifiedBy>
  <dcterms:created xsi:type="dcterms:W3CDTF">2018-05-03T16:07:21Z</dcterms:created>
  <dcterms:modified xsi:type="dcterms:W3CDTF">2019-12-02T15:41:31Z</dcterms:modified>
  <cp:contentStatus/>
</cp:coreProperties>
</file>